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Gd/NeqxmAC9cstEM8dJIUHs+2OpnNKYTfLVP1rc7da7AlsNxjf0M8d90IeKxCk1X5E/guQ1WjHO12CrBWIWxQ==" workbookSaltValue="e2TBkrEfoUXc+1AeLTVM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X32" i="20"/>
  <c r="L32" i="20"/>
  <c r="H32" i="20"/>
  <c r="T32" i="21"/>
  <c r="AF32" i="20"/>
  <c r="K32" i="20"/>
  <c r="AQ32" i="21"/>
  <c r="AJ32" i="20"/>
  <c r="G30" i="14"/>
  <c r="G23" i="14"/>
  <c r="U18" i="11"/>
  <c r="Y32" i="20"/>
  <c r="AG32" i="20"/>
  <c r="F32" i="20"/>
  <c r="G26" i="14"/>
  <c r="S32" i="20"/>
  <c r="O17" i="11"/>
  <c r="F25" i="2" l="1"/>
  <c r="BF17" i="8"/>
  <c r="F14" i="7"/>
  <c r="T31" i="8"/>
  <c r="M23"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R26" i="14" s="1"/>
  <c r="V20" i="11"/>
  <c r="BL25" i="1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P13" i="11" s="1"/>
  <c r="BH18" i="11"/>
  <c r="BM16" i="11"/>
  <c r="Q16" i="11" s="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BK23" i="11" s="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P12" i="11"/>
  <c r="BU33" i="17"/>
  <c r="AZ26" i="11"/>
  <c r="Q25" i="11"/>
  <c r="P18" i="11"/>
  <c r="Q9" i="11"/>
  <c r="BF23" i="11"/>
  <c r="P23" i="17"/>
  <c r="P31" i="17" s="1"/>
  <c r="P21" i="11"/>
  <c r="Q13" i="11"/>
  <c r="BK14" i="11"/>
  <c r="BK31" i="11" s="1"/>
  <c r="P29" i="11"/>
  <c r="R14" i="21"/>
  <c r="R31" i="21" s="1"/>
  <c r="AZ31" i="11"/>
  <c r="AZ14" i="11"/>
  <c r="P9" i="11"/>
  <c r="BL23" i="11"/>
  <c r="R31" i="20"/>
  <c r="S23" i="16"/>
  <c r="S31" i="16"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V32" i="11"/>
  <c r="P32" i="11"/>
  <c r="AS32" i="21"/>
  <c r="AR32" i="17"/>
  <c r="X32" i="21"/>
  <c r="AC32" i="11"/>
  <c r="AO32" i="21"/>
  <c r="AE32" i="21"/>
  <c r="S32" i="21"/>
  <c r="AF32" i="17"/>
  <c r="AF32" i="11"/>
  <c r="AS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H32" i="12"/>
  <c r="AB32" i="21"/>
  <c r="X32" i="17"/>
  <c r="BD32" i="21"/>
  <c r="S32" i="16"/>
  <c r="H32" i="16"/>
  <c r="AA32" i="11"/>
  <c r="Y32" i="11"/>
  <c r="AB32" i="16"/>
  <c r="AG32" i="11"/>
  <c r="AM32" i="17"/>
  <c r="N32" i="21"/>
  <c r="AD32" i="21"/>
  <c r="K32" i="21"/>
  <c r="AW32" i="17"/>
  <c r="L32" i="21"/>
  <c r="AY32" i="16"/>
  <c r="BF32" i="16"/>
  <c r="AK32" i="16"/>
  <c r="AL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<sst xmlns="http://schemas.openxmlformats.org/spreadsheetml/2006/main" count="2682" uniqueCount="1193">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</sst>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1MDUCYr2W81hWH8hMm61QJSGSm3+gIcJxvPF+6JdnlsARszyhH1QZI0TyAqqEkQQ5QYd4fWUiEa/3Moo65ajw==" saltValue="GrsRGwBpU7Z77omvxoid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32.044233807266984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1935</v>
      </c>
      <c r="D17" s="239">
        <f>IF(ISNUMBER(IF(D_I="SI",Datos!I17,Datos!I17+Datos!AC17)),IF(D_I="SI",Datos!I17,Datos!I17+Datos!AC17)," - ")</f>
        <v>2116</v>
      </c>
      <c r="E17" s="240">
        <f>IF(ISNUMBER(IF(D_I="SI",Datos!J17,Datos!J17+Datos!AD17)),IF(D_I="SI",Datos!J17,Datos!J17+Datos!AD17)," - ")</f>
        <v>676</v>
      </c>
      <c r="F17" s="240">
        <f>IF(ISNUMBER(IF(D_I="SI",Datos!K17,Datos!K17+Datos!AE17)),IF(D_I="SI",Datos!K17,Datos!K17+Datos!AE17)," - ")</f>
        <v>1011</v>
      </c>
      <c r="G17" s="1390" t="str">
        <f>IF(Datos!E17&lt;&gt;"",Datos!E17,Datos!D17)</f>
        <v>04</v>
      </c>
      <c r="H17" s="241">
        <f>IF(ISNUMBER(IF(D_I="SI",Datos!L17,Datos!L17+Datos!AF17)),IF(D_I="SI",Datos!L17,Datos!L17+Datos!AF17)," - ")</f>
        <v>1600</v>
      </c>
      <c r="I17" s="1400" t="str">
        <f>IF(ISNUMBER(Datos!AS17/Datos!BM17),Datos!AS17/Datos!BM17," - ")</f>
        <v xml:space="preserve"> - </v>
      </c>
      <c r="J17" s="1401">
        <f>IF(ISNUMBER(Datos!BY17/Datos!CN17),Datos!BY17/Datos!CN17," - ")</f>
        <v>0</v>
      </c>
      <c r="K17" s="244">
        <f t="shared" si="3"/>
        <v>-0.1731266149870801</v>
      </c>
      <c r="L17" s="1402">
        <f>IF(ISNUMBER(NºAsuntos!I17/NºAsuntos!G17),(NºAsuntos!I17/NºAsuntos!G17)*11," - ")</f>
        <v>17.408506429277942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2</v>
      </c>
      <c r="F18" s="240">
        <f>IF(ISNUMBER(IF(D_I="SI",Datos!K18,Datos!K18+Datos!AE18)),IF(D_I="SI",Datos!K18,Datos!K18+Datos!AE18)," - ")</f>
        <v>14</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-0.26666666666666666</v>
      </c>
      <c r="L18" s="1402">
        <f>IF(ISNUMBER(NºAsuntos!I18/NºAsuntos!G18),(NºAsuntos!I18/NºAsuntos!G18)*11," - ")</f>
        <v>25.928571428571431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1980</v>
      </c>
      <c r="D23" s="1407">
        <f>SUBTOTAL(9,D16:D22)</f>
        <v>2161</v>
      </c>
      <c r="E23" s="1408">
        <f>SUBTOTAL(9,E16:E22)</f>
        <v>678</v>
      </c>
      <c r="F23" s="1408">
        <f>SUBTOTAL(9,F16:F22)</f>
        <v>1025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1982</v>
      </c>
      <c r="D31" s="1435">
        <f>SUBTOTAL(9,D9:D30)</f>
        <v>2163</v>
      </c>
      <c r="E31" s="1436">
        <f>SUBTOTAL(9,E9:E30)</f>
        <v>678</v>
      </c>
      <c r="F31" s="1436">
        <f>SUBTOTAL(9,F9:F30)</f>
        <v>1027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b1kZb++AkxoRcQ1amUCQ3Naj1u/WRfFMKdKSBtVVl4jlzDKtwP8/ODOq951ApGi+yapMsByCJ8NzrgqWh+hWg==" saltValue="xMS+3GIcFpDf8iUyo0f0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F9w2KAm/dA5aFAJS8PSPWFA6SgXUSfwcSRBg+abqrKmgj3p3YCib/ovfUjcToCjzoAB/o3z3LQv4fZTU5knDw==" saltValue="7t7z7eVyrWfveYgw7U3l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2</v>
      </c>
      <c r="L10" s="194">
        <v>0</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1901</v>
      </c>
      <c r="J12" s="196">
        <v>493</v>
      </c>
      <c r="K12" s="196">
        <v>596</v>
      </c>
      <c r="L12" s="196">
        <v>1798</v>
      </c>
      <c r="M12" s="196">
        <v>152</v>
      </c>
      <c r="N12" s="196">
        <v>245</v>
      </c>
      <c r="O12" s="194">
        <v>270</v>
      </c>
      <c r="P12" s="196">
        <v>194</v>
      </c>
      <c r="Q12" s="196">
        <v>226</v>
      </c>
      <c r="R12" s="196">
        <v>2340</v>
      </c>
      <c r="S12" s="196">
        <v>2104</v>
      </c>
      <c r="T12" s="196">
        <v>490</v>
      </c>
      <c r="U12" s="196">
        <v>478</v>
      </c>
      <c r="V12" s="196">
        <v>2202</v>
      </c>
      <c r="W12" s="196">
        <v>82</v>
      </c>
      <c r="X12" s="202">
        <v>147</v>
      </c>
      <c r="Y12" s="204">
        <v>58</v>
      </c>
      <c r="Z12" s="194">
        <v>25</v>
      </c>
      <c r="AA12" s="194">
        <v>37</v>
      </c>
      <c r="AB12" s="194">
        <v>46</v>
      </c>
      <c r="AC12" s="196">
        <v>0</v>
      </c>
      <c r="AD12" s="196">
        <v>0</v>
      </c>
      <c r="AE12" s="196">
        <v>0</v>
      </c>
      <c r="AF12" s="202">
        <v>0</v>
      </c>
      <c r="AG12" s="215">
        <v>50</v>
      </c>
      <c r="AH12" s="196">
        <v>27</v>
      </c>
      <c r="AI12" s="196">
        <v>35</v>
      </c>
      <c r="AJ12" s="216">
        <v>49</v>
      </c>
      <c r="AK12" s="195">
        <v>0</v>
      </c>
      <c r="AL12" s="196">
        <v>0</v>
      </c>
      <c r="AM12" s="196">
        <v>0</v>
      </c>
      <c r="AN12" s="202">
        <v>0</v>
      </c>
      <c r="AO12" s="283">
        <v>3</v>
      </c>
      <c r="AP12" s="168">
        <v>3</v>
      </c>
      <c r="AQ12" s="168">
        <v>3</v>
      </c>
      <c r="AR12" s="167">
        <v>3</v>
      </c>
      <c r="AS12" s="381" t="s">
        <v>1075</v>
      </c>
      <c r="AT12" s="216"/>
      <c r="AU12" s="215"/>
      <c r="AV12" s="216"/>
      <c r="AW12" s="215"/>
      <c r="AX12" s="216"/>
      <c r="AY12" s="136">
        <f t="shared" si="1"/>
        <v>2154</v>
      </c>
      <c r="AZ12" s="137">
        <f t="shared" si="1"/>
        <v>517</v>
      </c>
      <c r="BA12" s="137">
        <f t="shared" si="1"/>
        <v>513</v>
      </c>
      <c r="BB12" s="137">
        <f t="shared" si="1"/>
        <v>2251</v>
      </c>
      <c r="BC12" s="135">
        <f>IF(ISNUMBER(X12),X12," - ")</f>
        <v>147</v>
      </c>
      <c r="BD12" s="136">
        <f t="shared" si="2"/>
        <v>0.99226305609284338</v>
      </c>
      <c r="BE12" s="137">
        <f t="shared" si="3"/>
        <v>4.3879142300194935</v>
      </c>
      <c r="BF12" s="137">
        <f t="shared" si="4"/>
        <v>0.28654970760233917</v>
      </c>
      <c r="BG12" s="209">
        <f t="shared" si="5"/>
        <v>5.2066276803118905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1903</v>
      </c>
      <c r="J14" s="197">
        <f t="shared" si="7"/>
        <v>493</v>
      </c>
      <c r="K14" s="197">
        <f t="shared" si="7"/>
        <v>598</v>
      </c>
      <c r="L14" s="197">
        <f t="shared" si="7"/>
        <v>1798</v>
      </c>
      <c r="M14" s="197">
        <f t="shared" si="7"/>
        <v>152</v>
      </c>
      <c r="N14" s="197">
        <f t="shared" si="7"/>
        <v>245</v>
      </c>
      <c r="O14" s="197">
        <f t="shared" si="7"/>
        <v>270</v>
      </c>
      <c r="P14" s="197">
        <f t="shared" si="7"/>
        <v>194</v>
      </c>
      <c r="Q14" s="197">
        <f t="shared" si="7"/>
        <v>226</v>
      </c>
      <c r="R14" s="197">
        <f t="shared" si="7"/>
        <v>2340</v>
      </c>
      <c r="S14" s="197">
        <f t="shared" si="7"/>
        <v>2106</v>
      </c>
      <c r="T14" s="197">
        <f t="shared" si="7"/>
        <v>490</v>
      </c>
      <c r="U14" s="197">
        <f t="shared" si="7"/>
        <v>478</v>
      </c>
      <c r="V14" s="197">
        <f t="shared" si="7"/>
        <v>2204</v>
      </c>
      <c r="W14" s="197">
        <f t="shared" si="7"/>
        <v>82</v>
      </c>
      <c r="X14" s="197">
        <f t="shared" si="7"/>
        <v>147</v>
      </c>
      <c r="Y14" s="197">
        <f t="shared" si="7"/>
        <v>58</v>
      </c>
      <c r="Z14" s="197">
        <f t="shared" si="7"/>
        <v>25</v>
      </c>
      <c r="AA14" s="197">
        <f t="shared" si="7"/>
        <v>37</v>
      </c>
      <c r="AB14" s="197">
        <f t="shared" si="7"/>
        <v>46</v>
      </c>
      <c r="AC14" s="197">
        <f t="shared" si="7"/>
        <v>0</v>
      </c>
      <c r="AD14" s="197">
        <f t="shared" si="7"/>
        <v>0</v>
      </c>
      <c r="AE14" s="197">
        <f t="shared" si="7"/>
        <v>0</v>
      </c>
      <c r="AF14" s="197">
        <f>SUBTOTAL(9,AF9:AF13)</f>
        <v>0</v>
      </c>
      <c r="AG14" s="197">
        <f t="shared" ref="AG14:AT14" si="8">SUBTOTAL(9,AG8:AG13)</f>
        <v>50</v>
      </c>
      <c r="AH14" s="197">
        <f t="shared" si="8"/>
        <v>27</v>
      </c>
      <c r="AI14" s="197">
        <f t="shared" si="8"/>
        <v>35</v>
      </c>
      <c r="AJ14" s="197">
        <f t="shared" si="8"/>
        <v>49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2156</v>
      </c>
      <c r="AZ14" s="197">
        <f>SUBTOTAL(9,AZ8:AZ13)</f>
        <v>517</v>
      </c>
      <c r="BA14" s="197">
        <f>SUBTOTAL(9,BA8:BA13)</f>
        <v>513</v>
      </c>
      <c r="BB14" s="197">
        <f>SUBTOTAL(9,BB8:BB13)</f>
        <v>2253</v>
      </c>
      <c r="BC14" s="197">
        <f>SUBTOTAL(9,BC8:BC13)</f>
        <v>147</v>
      </c>
      <c r="BD14" s="219">
        <f>IF(ISNUMBER(BA14/AZ14),BA14/AZ14," - ")</f>
        <v>0.99226305609284338</v>
      </c>
      <c r="BE14" s="220">
        <f>IF(ISNUMBER(BB14/BA14),BB14/BA14, " - ")</f>
        <v>4.3918128654970756</v>
      </c>
      <c r="BF14" s="220">
        <f>IF(ISNUMBER(BC14/BA14),BC14/BA14, " - ")</f>
        <v>0.28654970760233917</v>
      </c>
      <c r="BG14" s="221">
        <f>IF(ISNUMBER((AY14+AZ14)/BA14),(AY14+AZ14)/BA14," - ")</f>
        <v>5.2105263157894735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2116</v>
      </c>
      <c r="J17" s="196">
        <v>676</v>
      </c>
      <c r="K17" s="196">
        <v>1011</v>
      </c>
      <c r="L17" s="196">
        <v>1600</v>
      </c>
      <c r="M17" s="196">
        <v>105</v>
      </c>
      <c r="N17" s="196">
        <v>761</v>
      </c>
      <c r="O17" s="194">
        <v>8</v>
      </c>
      <c r="P17" s="196">
        <v>27</v>
      </c>
      <c r="Q17" s="196">
        <v>19</v>
      </c>
      <c r="R17" s="196">
        <v>175</v>
      </c>
      <c r="S17" s="196">
        <v>1660</v>
      </c>
      <c r="T17" s="196">
        <v>760</v>
      </c>
      <c r="U17" s="196">
        <v>790</v>
      </c>
      <c r="V17" s="196">
        <v>1711</v>
      </c>
      <c r="W17" s="196">
        <v>90</v>
      </c>
      <c r="X17" s="202">
        <v>544</v>
      </c>
      <c r="Y17" s="215">
        <v>0</v>
      </c>
      <c r="Z17" s="196">
        <v>0</v>
      </c>
      <c r="AA17" s="196">
        <v>0</v>
      </c>
      <c r="AB17" s="196">
        <v>0</v>
      </c>
      <c r="AC17" s="196">
        <v>0</v>
      </c>
      <c r="AD17" s="196">
        <v>18</v>
      </c>
      <c r="AE17" s="196">
        <v>18</v>
      </c>
      <c r="AF17" s="202">
        <v>0</v>
      </c>
      <c r="AG17" s="215">
        <v>0</v>
      </c>
      <c r="AH17" s="196">
        <v>0</v>
      </c>
      <c r="AI17" s="196">
        <v>0</v>
      </c>
      <c r="AJ17" s="216">
        <v>0</v>
      </c>
      <c r="AK17" s="195">
        <v>74</v>
      </c>
      <c r="AL17" s="196">
        <v>17</v>
      </c>
      <c r="AM17" s="196">
        <v>82</v>
      </c>
      <c r="AN17" s="202">
        <v>9</v>
      </c>
      <c r="AO17" s="283">
        <v>3</v>
      </c>
      <c r="AP17" s="168">
        <v>3</v>
      </c>
      <c r="AQ17" s="168">
        <v>3</v>
      </c>
      <c r="AR17" s="168">
        <v>3</v>
      </c>
      <c r="AS17" s="381" t="s">
        <v>650</v>
      </c>
      <c r="AT17" s="216"/>
      <c r="AU17" s="215"/>
      <c r="AV17" s="216"/>
      <c r="AW17" s="215"/>
      <c r="AX17" s="216"/>
      <c r="AY17" s="136">
        <f t="shared" si="10"/>
        <v>1660</v>
      </c>
      <c r="AZ17" s="137">
        <f t="shared" si="10"/>
        <v>760</v>
      </c>
      <c r="BA17" s="137">
        <f t="shared" si="10"/>
        <v>790</v>
      </c>
      <c r="BB17" s="137">
        <f t="shared" si="10"/>
        <v>1711</v>
      </c>
      <c r="BC17" s="135">
        <f>IF(ISNUMBER(W17),W17," - ")</f>
        <v>90</v>
      </c>
      <c r="BD17" s="136">
        <f t="shared" ref="BD17:BD22" si="12">IF(ISNUMBER(BA17/AZ17),BA17/AZ17," - ")</f>
        <v>1.0394736842105263</v>
      </c>
      <c r="BE17" s="137">
        <f t="shared" ref="BE17:BE22" si="13">IF(ISNUMBER(BB17/BA17),BB17/BA17, " - ")</f>
        <v>2.1658227848101266</v>
      </c>
      <c r="BF17" s="137">
        <f t="shared" ref="BF17:BF22" si="14">IF(ISNUMBER(BC17/BA17),BC17/BA17, " - ")</f>
        <v>0.11392405063291139</v>
      </c>
      <c r="BG17" s="209">
        <f t="shared" si="11"/>
        <v>3.0632911392405062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2</v>
      </c>
      <c r="K18" s="196">
        <v>14</v>
      </c>
      <c r="L18" s="196">
        <v>33</v>
      </c>
      <c r="M18" s="196">
        <v>0</v>
      </c>
      <c r="N18" s="196">
        <v>12</v>
      </c>
      <c r="O18" s="196">
        <v>0</v>
      </c>
      <c r="P18" s="196">
        <v>0</v>
      </c>
      <c r="Q18" s="196">
        <v>0</v>
      </c>
      <c r="R18" s="196">
        <v>4</v>
      </c>
      <c r="S18" s="196">
        <v>56</v>
      </c>
      <c r="T18" s="196">
        <v>9</v>
      </c>
      <c r="U18" s="196">
        <v>16</v>
      </c>
      <c r="V18" s="196">
        <v>49</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9</v>
      </c>
      <c r="BA18" s="139">
        <f t="shared" si="15"/>
        <v>16</v>
      </c>
      <c r="BB18" s="139">
        <f t="shared" si="15"/>
        <v>49</v>
      </c>
      <c r="BC18" s="135">
        <f>IF(ISNUMBER(W18),W18," - ")</f>
        <v>0</v>
      </c>
      <c r="BD18" s="136">
        <f>IF(ISNUMBER(BA18/AZ18),BA18/AZ18," - ")</f>
        <v>1.7777777777777777</v>
      </c>
      <c r="BE18" s="137">
        <f>IF(ISNUMBER(BB18/BA18),BB18/BA18, " - ")</f>
        <v>3.0625</v>
      </c>
      <c r="BF18" s="137">
        <f>IF(ISNUMBER(BC18/BA18),BC18/BA18, " - ")</f>
        <v>0</v>
      </c>
      <c r="BG18" s="209">
        <f>IF(ISNUMBER((AY18+AZ18)/BA18),(AY18+AZ18)/BA18," - ")</f>
        <v>4.0625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2161</v>
      </c>
      <c r="J23" s="197">
        <f t="shared" si="21"/>
        <v>678</v>
      </c>
      <c r="K23" s="197">
        <f t="shared" si="21"/>
        <v>1025</v>
      </c>
      <c r="L23" s="197">
        <f t="shared" si="21"/>
        <v>1633</v>
      </c>
      <c r="M23" s="197">
        <f t="shared" si="21"/>
        <v>105</v>
      </c>
      <c r="N23" s="197">
        <f t="shared" si="21"/>
        <v>773</v>
      </c>
      <c r="O23" s="197">
        <f t="shared" si="21"/>
        <v>8</v>
      </c>
      <c r="P23" s="197">
        <f t="shared" si="21"/>
        <v>27</v>
      </c>
      <c r="Q23" s="197">
        <f t="shared" si="21"/>
        <v>19</v>
      </c>
      <c r="R23" s="197">
        <f t="shared" si="21"/>
        <v>179</v>
      </c>
      <c r="S23" s="197">
        <f t="shared" si="21"/>
        <v>1716</v>
      </c>
      <c r="T23" s="197">
        <f t="shared" si="21"/>
        <v>769</v>
      </c>
      <c r="U23" s="197">
        <f t="shared" si="21"/>
        <v>806</v>
      </c>
      <c r="V23" s="197">
        <f t="shared" si="21"/>
        <v>1760</v>
      </c>
      <c r="W23" s="197">
        <f t="shared" si="21"/>
        <v>90</v>
      </c>
      <c r="X23" s="197">
        <f t="shared" si="21"/>
        <v>548</v>
      </c>
      <c r="Y23" s="197">
        <f t="shared" si="21"/>
        <v>0</v>
      </c>
      <c r="Z23" s="197">
        <f t="shared" si="21"/>
        <v>0</v>
      </c>
      <c r="AA23" s="197">
        <f t="shared" si="21"/>
        <v>0</v>
      </c>
      <c r="AB23" s="197">
        <f t="shared" si="21"/>
        <v>0</v>
      </c>
      <c r="AC23" s="197">
        <f t="shared" si="21"/>
        <v>0</v>
      </c>
      <c r="AD23" s="197">
        <f t="shared" si="21"/>
        <v>18</v>
      </c>
      <c r="AE23" s="197">
        <f t="shared" si="21"/>
        <v>18</v>
      </c>
      <c r="AF23" s="197">
        <f t="shared" si="21"/>
        <v>0</v>
      </c>
      <c r="AG23" s="197">
        <f t="shared" si="21"/>
        <v>0</v>
      </c>
      <c r="AH23" s="197">
        <f t="shared" si="21"/>
        <v>0</v>
      </c>
      <c r="AI23" s="197">
        <f t="shared" si="21"/>
        <v>0</v>
      </c>
      <c r="AJ23" s="197">
        <f t="shared" si="21"/>
        <v>0</v>
      </c>
      <c r="AK23" s="197">
        <f t="shared" si="21"/>
        <v>74</v>
      </c>
      <c r="AL23" s="197">
        <f t="shared" si="21"/>
        <v>17</v>
      </c>
      <c r="AM23" s="197">
        <f t="shared" si="21"/>
        <v>82</v>
      </c>
      <c r="AN23" s="197">
        <f t="shared" si="21"/>
        <v>9</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1716</v>
      </c>
      <c r="AZ23" s="197">
        <f>SUBTOTAL(9,AZ15:AZ22)</f>
        <v>769</v>
      </c>
      <c r="BA23" s="197">
        <f>SUBTOTAL(9,BA15:BA22)</f>
        <v>806</v>
      </c>
      <c r="BB23" s="197">
        <f>SUBTOTAL(9,BB15:BB22)</f>
        <v>1760</v>
      </c>
      <c r="BC23" s="197">
        <f>SUBTOTAL(9,BC15:BC22)</f>
        <v>90</v>
      </c>
      <c r="BD23" s="219">
        <f>IF(ISNUMBER(BA23/AZ23),BA23/AZ23," - ")</f>
        <v>1.048114434330299</v>
      </c>
      <c r="BE23" s="220">
        <f>IF(ISNUMBER(BB23/BA23),BB23/BA23, " - ")</f>
        <v>2.1836228287841193</v>
      </c>
      <c r="BF23" s="220">
        <f>IF(ISNUMBER(BC23/BA23),BC23/BA23, " - ")</f>
        <v>0.11166253101736973</v>
      </c>
      <c r="BG23" s="221">
        <f>IF(ISNUMBER((AY23+AZ23)/BA23),(AY23+AZ23)/BA23," - ")</f>
        <v>3.0831265508684864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4064</v>
      </c>
      <c r="J31" s="144">
        <f t="shared" si="36"/>
        <v>1171</v>
      </c>
      <c r="K31" s="144">
        <f t="shared" si="36"/>
        <v>1623</v>
      </c>
      <c r="L31" s="144">
        <f t="shared" si="36"/>
        <v>3431</v>
      </c>
      <c r="M31" s="144">
        <f t="shared" si="36"/>
        <v>257</v>
      </c>
      <c r="N31" s="144">
        <f t="shared" si="36"/>
        <v>1018</v>
      </c>
      <c r="O31" s="144">
        <f t="shared" si="36"/>
        <v>278</v>
      </c>
      <c r="P31" s="144">
        <f t="shared" si="36"/>
        <v>221</v>
      </c>
      <c r="Q31" s="144">
        <f t="shared" si="36"/>
        <v>245</v>
      </c>
      <c r="R31" s="144">
        <f t="shared" si="36"/>
        <v>2519</v>
      </c>
      <c r="S31" s="144">
        <f t="shared" si="36"/>
        <v>3822</v>
      </c>
      <c r="T31" s="144">
        <f t="shared" si="36"/>
        <v>1259</v>
      </c>
      <c r="U31" s="144">
        <f t="shared" si="36"/>
        <v>1284</v>
      </c>
      <c r="V31" s="144">
        <f t="shared" si="36"/>
        <v>3964</v>
      </c>
      <c r="W31" s="144">
        <f t="shared" si="36"/>
        <v>172</v>
      </c>
      <c r="X31" s="144">
        <f t="shared" si="36"/>
        <v>695</v>
      </c>
      <c r="Y31" s="144">
        <f t="shared" si="36"/>
        <v>58</v>
      </c>
      <c r="Z31" s="144">
        <f t="shared" si="36"/>
        <v>25</v>
      </c>
      <c r="AA31" s="144">
        <f t="shared" si="36"/>
        <v>37</v>
      </c>
      <c r="AB31" s="144">
        <f t="shared" si="36"/>
        <v>46</v>
      </c>
      <c r="AC31" s="144">
        <f t="shared" si="36"/>
        <v>0</v>
      </c>
      <c r="AD31" s="144">
        <f t="shared" si="36"/>
        <v>18</v>
      </c>
      <c r="AE31" s="144">
        <f t="shared" si="36"/>
        <v>18</v>
      </c>
      <c r="AF31" s="144">
        <f t="shared" si="36"/>
        <v>0</v>
      </c>
      <c r="AG31" s="144">
        <f t="shared" si="36"/>
        <v>50</v>
      </c>
      <c r="AH31" s="144">
        <f t="shared" si="36"/>
        <v>27</v>
      </c>
      <c r="AI31" s="144">
        <f t="shared" si="36"/>
        <v>35</v>
      </c>
      <c r="AJ31" s="144">
        <f t="shared" si="36"/>
        <v>49</v>
      </c>
      <c r="AK31" s="144">
        <f t="shared" si="36"/>
        <v>74</v>
      </c>
      <c r="AL31" s="144">
        <f t="shared" si="36"/>
        <v>17</v>
      </c>
      <c r="AM31" s="144">
        <f t="shared" si="36"/>
        <v>82</v>
      </c>
      <c r="AN31" s="224">
        <f t="shared" si="36"/>
        <v>9</v>
      </c>
      <c r="AO31" s="225">
        <v>4</v>
      </c>
      <c r="AP31" s="225">
        <v>3</v>
      </c>
      <c r="AQ31" s="225">
        <v>3</v>
      </c>
      <c r="AR31" s="225">
        <v>3</v>
      </c>
      <c r="AS31" s="166">
        <f t="shared" si="36"/>
        <v>0</v>
      </c>
      <c r="AT31" s="166">
        <f t="shared" si="36"/>
        <v>0</v>
      </c>
      <c r="AU31" s="225"/>
      <c r="AV31" s="226"/>
      <c r="AW31" s="225"/>
      <c r="AX31" s="226"/>
      <c r="AY31" s="143">
        <f>SUBTOTAL(9,AY9:AY30)</f>
        <v>3872</v>
      </c>
      <c r="AZ31" s="144">
        <f>SUBTOTAL(9,AZ9:AZ30)</f>
        <v>1286</v>
      </c>
      <c r="BA31" s="144">
        <f>SUBTOTAL(9,BA9:BA30)</f>
        <v>1319</v>
      </c>
      <c r="BB31" s="144">
        <f>SUBTOTAL(9,BB9:BB30)</f>
        <v>4013</v>
      </c>
      <c r="BC31" s="145">
        <f>SUBTOTAL(9,BC9:BC30)</f>
        <v>237</v>
      </c>
      <c r="BD31" s="227">
        <f>IF(ISNUMBER(BA31/AZ31),BA31/AZ31," - ")</f>
        <v>1.0256609642301711</v>
      </c>
      <c r="BE31" s="224">
        <f>IF(ISNUMBER(BB31/BA31),BB31/BA31, " - ")</f>
        <v>3.0424564063684612</v>
      </c>
      <c r="BF31" s="224">
        <f>IF(ISNUMBER(BC31/BA31),BC31/BA31, " - ")</f>
        <v>0.17968157695223655</v>
      </c>
      <c r="BG31" s="145">
        <f>IF(ISNUMBER((AY31+AZ31)/BA31),(AY31+AZ31)/BA31," - ")</f>
        <v>3.910538286580743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WGqwxkQPQDSqbjTrbJKV+m5Ttng95LMOnV22N4NnwdVToGVOFtCQ1l0LSSSwsbs59kQcekB0pw40dSbbrib2Q==" saltValue="VHKXB7Rx+B9hiaXRYnSl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e/+JYigx9+gY0+Siwc2EgLhEf4qJKL+5Uwt03F5m+5ZknxLn61QF+BOYdAocqf3kR3ugDekSoeWU5S6D4uJGQ==" saltValue="09Pnm19LXrxDdZtj5NRk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ROQUE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2340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152</v>
      </c>
      <c r="BD12" s="693">
        <f>IF(ISNUMBER(Datos!N12),Datos!N12," - ")</f>
        <v>245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1.2220077220077219</v>
      </c>
      <c r="BH12" s="764">
        <f>IF(ISNUMBER(((IF(J_V="SI",Datos!L12/Datos!K12,(Datos!L12+Datos!AB12)/(Datos!K12+Datos!AA12)))*11)/factor_trimestre),((IF(J_V="SI",Datos!L12/Datos!K12,(Datos!L12+Datos!AB12)/(Datos!K12+Datos!AA12)))*11)/factor_trimestre," - ")</f>
        <v>8.7393364928909953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-1.3490725126475547E-2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226</v>
      </c>
      <c r="AD14" s="1198">
        <f t="shared" si="2"/>
        <v>0</v>
      </c>
      <c r="AE14" s="1198">
        <f t="shared" si="2"/>
        <v>0</v>
      </c>
      <c r="AF14" s="1198">
        <f t="shared" si="2"/>
        <v>0</v>
      </c>
      <c r="AG14" s="1198">
        <f t="shared" si="2"/>
        <v>0</v>
      </c>
      <c r="AH14" s="1198">
        <f t="shared" si="2"/>
        <v>46</v>
      </c>
      <c r="AI14" s="1198">
        <f t="shared" si="2"/>
        <v>0</v>
      </c>
      <c r="AJ14" s="1198">
        <f t="shared" si="2"/>
        <v>0</v>
      </c>
      <c r="AK14" s="1198">
        <f t="shared" si="2"/>
        <v>0</v>
      </c>
      <c r="AL14" s="1198">
        <f t="shared" si="2"/>
        <v>0</v>
      </c>
      <c r="AM14" s="1198">
        <f t="shared" si="2"/>
        <v>2340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152</v>
      </c>
      <c r="BD14" s="1198">
        <f t="shared" si="2"/>
        <v>245</v>
      </c>
      <c r="BE14" s="1198">
        <f t="shared" si="2"/>
        <v>0</v>
      </c>
      <c r="BF14" s="1198">
        <f t="shared" si="2"/>
        <v>0</v>
      </c>
      <c r="BG14" s="1198">
        <f>IF(ISNUMBER(Datos!K14/Datos!J14),Datos!K14/Datos!J14," - ")</f>
        <v>1.2129817444219066</v>
      </c>
      <c r="BH14" s="1202">
        <f>IF(ISNUMBER(((Datos!L14/Datos!K14)*11)/factor_trimestre),((Datos!L14/Datos!K14)*11)/factor_trimestre," - ")</f>
        <v>9.0200668896321083</v>
      </c>
      <c r="BI14" s="1198">
        <f>IF(ISNUMBER('Resol  Asuntos'!D14/NºAsuntos!G14),'Resol  Asuntos'!D14/NºAsuntos!G14," - ")</f>
        <v>0.23937007874015748</v>
      </c>
      <c r="BJ14" s="1198" t="str">
        <f>IF(ISNUMBER(Datos!CI14/Datos!CJ14),Datos!CI14/Datos!CJ14," - ")</f>
        <v xml:space="preserve"> - </v>
      </c>
      <c r="BK14" s="1198">
        <f>SUBTOTAL(9,BK8:BK13)</f>
        <v>0</v>
      </c>
      <c r="BL14" s="1198">
        <f>IF(ISNUMBER((I14-AB14+L14)/(F14)),(I14-AB14+L14)/(F14)," - ")</f>
        <v>-1</v>
      </c>
      <c r="BM14" s="1203">
        <f>SUBTOTAL(9,BM9:BM13)</f>
        <v>-1.3490725126475547E-2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1935</v>
      </c>
      <c r="G17" s="743">
        <f>IF(ISNUMBER(IF(D_I="SI",Datos!I17,Datos!I17+Datos!AC17)),IF(D_I="SI",Datos!I17,Datos!I17+Datos!AC17)," - ")</f>
        <v>2116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1011</v>
      </c>
      <c r="AC17" s="240">
        <f>IF(ISNUMBER(Datos!Q17),Datos!Q17," - ")</f>
        <v>19</v>
      </c>
      <c r="AD17" s="374"/>
      <c r="AE17" s="562"/>
      <c r="AF17" s="741">
        <f>IF(ISNUMBER(IF(D_I="SI",Datos!L17,Datos!L17+Datos!AF17)),IF(D_I="SI",Datos!L17,Datos!L17+Datos!AF17)," - ")</f>
        <v>1600</v>
      </c>
      <c r="AG17" s="374"/>
      <c r="AH17" s="374"/>
      <c r="AI17" s="374"/>
      <c r="AJ17" s="549"/>
      <c r="AK17" s="374"/>
      <c r="AL17" s="545"/>
      <c r="AM17" s="375">
        <f>IF(ISNUMBER(Datos!R17),Datos!R17," - ")</f>
        <v>175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761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1.4955621301775148</v>
      </c>
      <c r="BH17" s="764">
        <f>IF(ISNUMBER(((IF(D_I="SI",Datos!L17/Datos!K17,(Datos!L17+Datos!AF17)/(Datos!K17+Datos!AE17)))*11)/factor_trimestre),((IF(D_I="SI",Datos!L17/Datos!K17,(Datos!L17+Datos!AF17)/(Datos!K17+Datos!AE17)))*11)/factor_trimestre," - ")</f>
        <v>4.7477744807121658</v>
      </c>
      <c r="BI17" s="266">
        <f>IF(ISNUMBER('Resol  Asuntos'!D17/NºAsuntos!G17),'Resol  Asuntos'!D17/NºAsuntos!G17," - ")</f>
        <v>0.10385756676557864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33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7</v>
      </c>
      <c r="BH18" s="764">
        <f>IF(ISNUMBER(((IF(D_I="SI",Datos!L18/Datos!K18,(Datos!L18+Datos!AF18)/(Datos!K18+Datos!AE18)))*11)/factor_trimestre),((IF(D_I="SI",Datos!L18/Datos!K18,(Datos!L18+Datos!AF18)/(Datos!K18+Datos!AE18)))*11)/factor_trimestre," - ")</f>
        <v>7.0714285714285721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1935</v>
      </c>
      <c r="G23" s="1197">
        <f>SUBTOTAL(9,G16:G22)</f>
        <v>2161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1025</v>
      </c>
      <c r="AC23" s="1198">
        <f t="shared" si="5"/>
        <v>19</v>
      </c>
      <c r="AD23" s="1198">
        <f t="shared" si="5"/>
        <v>0</v>
      </c>
      <c r="AE23" s="1198">
        <f t="shared" si="5"/>
        <v>0</v>
      </c>
      <c r="AF23" s="1198">
        <f t="shared" si="5"/>
        <v>1633</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773</v>
      </c>
      <c r="BE23" s="1198">
        <f t="shared" si="5"/>
        <v>0</v>
      </c>
      <c r="BF23" s="1198">
        <f t="shared" si="5"/>
        <v>0</v>
      </c>
      <c r="BG23" s="1198">
        <f>IF(ISNUMBER(Datos!K23/Datos!J23),Datos!K23/Datos!J23," - ")</f>
        <v>1.5117994100294985</v>
      </c>
      <c r="BH23" s="1202">
        <f>IF(ISNUMBER(((Datos!L23/Datos!K23)*11)/factor_trimestre),((Datos!L23/Datos!K23)*11)/factor_trimestre," - ")</f>
        <v>4.7795121951219519</v>
      </c>
      <c r="BI23" s="1198">
        <f>SUBTOTAL(9,BI16:BI22)</f>
        <v>0.10385756676557864</v>
      </c>
      <c r="BJ23" s="1198">
        <f>SUBTOTAL(9,BJ16:BJ22)</f>
        <v>0</v>
      </c>
      <c r="BK23" s="1198">
        <f>SUBTOTAL(9,BK16:BK22)</f>
        <v>0</v>
      </c>
      <c r="BL23" s="1198">
        <f>IF(ISNUMBER((I23-AB23+L23)/(F23)),(I23-AB23+L23)/(F23)," - ")</f>
        <v>-0.52971576227390182</v>
      </c>
      <c r="BM23" s="1205">
        <f>IF(ISNUMBER((Datos!P23-Datos!Q23)/(Datos!R23-Datos!P23+Datos!Q23)),(Datos!P23-Datos!Q23)/(Datos!R23-Datos!P23+Datos!Q23)," - ")</f>
        <v>4.6783625730994149E-2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1937</v>
      </c>
      <c r="G31" s="1117">
        <f t="shared" si="18"/>
        <v>2163</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221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1027</v>
      </c>
      <c r="AC31" s="1118">
        <f t="shared" si="19"/>
        <v>245</v>
      </c>
      <c r="AD31" s="1118">
        <f t="shared" si="19"/>
        <v>0</v>
      </c>
      <c r="AE31" s="1118">
        <f t="shared" si="19"/>
        <v>0</v>
      </c>
      <c r="AF31" s="1125">
        <f t="shared" si="19"/>
        <v>1633</v>
      </c>
      <c r="AG31" s="1125">
        <f t="shared" si="19"/>
        <v>0</v>
      </c>
      <c r="AH31" s="1125">
        <f t="shared" si="19"/>
        <v>46</v>
      </c>
      <c r="AI31" s="1125">
        <f t="shared" si="19"/>
        <v>0</v>
      </c>
      <c r="AJ31" s="1118">
        <f t="shared" si="19"/>
        <v>0</v>
      </c>
      <c r="AK31" s="1125">
        <f t="shared" si="19"/>
        <v>0</v>
      </c>
      <c r="AL31" s="1125">
        <f t="shared" si="19"/>
        <v>0</v>
      </c>
      <c r="AM31" s="1125">
        <f t="shared" si="19"/>
        <v>2519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257</v>
      </c>
      <c r="BD31" s="1117">
        <f t="shared" si="19"/>
        <v>1018</v>
      </c>
      <c r="BE31" s="1117">
        <f t="shared" si="19"/>
        <v>0</v>
      </c>
      <c r="BF31" s="1127">
        <f t="shared" si="19"/>
        <v>0</v>
      </c>
      <c r="BG31" s="1223">
        <f>IF(ISNUMBER(Datos!K31/Datos!J31),Datos!K31/Datos!J31," - ")</f>
        <v>1.38599487617421</v>
      </c>
      <c r="BH31" s="1223">
        <f>IF(ISNUMBER(((Datos!L31/Datos!K31)*11)/factor_trimestre),((Datos!L31/Datos!K31)*11)/factor_trimestre," - ")</f>
        <v>6.3419593345656198</v>
      </c>
      <c r="BI31" s="1103">
        <f>IF(ISNUMBER(Datos!J31/Datos!I31),Datos!J31/Datos!I31," - ")</f>
        <v>0.28813976377952755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-0.53020134228187921</v>
      </c>
      <c r="BM31" s="1188">
        <f>IF(ISNUMBER((Datos!P31-Datos!Q31+R31)/(Datos!R31-Datos!P31+Datos!Q31-R31)),(Datos!P31-Datos!Q31+R31)/(Datos!R31-Datos!P31+Datos!Q31-R31)," - ")</f>
        <v>-9.4376720408965789E-3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998.71370605727986</v>
      </c>
      <c r="G33" s="674">
        <f>IF(ISNUMBER(STDEV(G8:G30)),STDEV(G8:G30),"-")</f>
        <v>1038.9050325543076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495.01644994311624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70.946156646129481</v>
      </c>
      <c r="BD33" s="673"/>
      <c r="BE33" s="673">
        <f>IF(ISNUMBER(STDEV(BE8:BE30)),STDEV(BE8:BE30),"-")</f>
        <v>0</v>
      </c>
      <c r="BF33" s="678">
        <f>IF(ISNUMBER(STDEV(BF8:BF30)),STDEV(BF8:BF30),"-")</f>
        <v>0</v>
      </c>
      <c r="BG33" s="1052">
        <f>IF(ISNUMBER(STDEV(BG8:BG30)),STDEV(BG8:BG30),"-")</f>
        <v>2.5260864698117316</v>
      </c>
      <c r="BH33" s="1058">
        <f>IF(ISNUMBER(STDEV(BH8:BH30)),STDEV(BH8:BH30),"-")</f>
        <v>3.3580080737498412</v>
      </c>
      <c r="BI33" s="273">
        <f>IF(ISNUMBER(STDEV(BI8:BI30)),STDEV(BI8:BI30),"-")</f>
        <v>9.8148741182419633E-2</v>
      </c>
      <c r="BJ33" s="244" t="str">
        <f>IF(ISNUMBER(BL33/BM33),BL33/BM33," - ")</f>
        <v xml:space="preserve"> - </v>
      </c>
      <c r="BK33" s="709"/>
      <c r="BL33" s="681">
        <f>IF(ISNUMBER(STDEV(BL8:BL30)),STDEV(BL8:BL30),"-")</f>
        <v>0.33254117358127067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qGmrHZb2lekUi0fTUUqScJ1X+KIGxIRXCPCNyFmso3xp/sfIy27Vo4BMJpEUPeORCHrGyGfGXMwiVqB7FS1iw==" saltValue="/YiS22jziUT9J4CO2RjD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ROQUE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226</v>
      </c>
      <c r="AA12" s="551" t="str">
        <f>IF(ISNUMBER(IF(J_V="SI",Datos!L12,Datos!L12+Datos!AB12)-IF(Monitorios="SI",Datos!CD12,0)),
                          IF(J_V="SI",Datos!L12,Datos!L12+Datos!AB12)-IF(Monitorios="SI",Datos!CD12,0),
                          " - ")</f>
        <v xml:space="preserve"> - </v>
      </c>
      <c r="AB12" s="549"/>
      <c r="AC12" s="549"/>
      <c r="AD12" s="563"/>
      <c r="AE12" s="563">
        <f>IF(ISNUMBER(Datos!R12),Datos!R12," - ")</f>
        <v>2340</v>
      </c>
      <c r="AF12" s="693" t="str">
        <f>IF(ISNUMBER(Datos!BV12),Datos!BV12," - ")</f>
        <v xml:space="preserve"> - </v>
      </c>
      <c r="AG12" s="552" t="str">
        <f>IF(ISNUMBER(Datos!DV12),Datos!DV12," - ")</f>
        <v xml:space="preserve"> - </v>
      </c>
      <c r="AH12" s="553"/>
      <c r="AI12" s="554"/>
      <c r="AJ12" s="552">
        <f>IF(ISNUMBER(Datos!M12),Datos!M12," - ")</f>
        <v>152</v>
      </c>
      <c r="AK12" s="693">
        <f>IF(ISNUMBER(Datos!N12),Datos!N12," - ")</f>
        <v>245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8.7393364928909953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-1.3490725126475547E-2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226</v>
      </c>
      <c r="AA14" s="1199">
        <f t="shared" si="3"/>
        <v>0</v>
      </c>
      <c r="AB14" s="1199">
        <f t="shared" si="3"/>
        <v>0</v>
      </c>
      <c r="AC14" s="1199">
        <f t="shared" si="3"/>
        <v>0</v>
      </c>
      <c r="AD14" s="1199">
        <f t="shared" si="3"/>
        <v>0</v>
      </c>
      <c r="AE14" s="1199">
        <f t="shared" si="3"/>
        <v>2340</v>
      </c>
      <c r="AF14" s="1211">
        <f t="shared" si="3"/>
        <v>0</v>
      </c>
      <c r="AG14" s="1211">
        <f t="shared" si="3"/>
        <v>0</v>
      </c>
      <c r="AH14" s="1211">
        <f t="shared" si="3"/>
        <v>0</v>
      </c>
      <c r="AI14" s="1211">
        <f t="shared" si="3"/>
        <v>0</v>
      </c>
      <c r="AJ14" s="1211">
        <f t="shared" si="3"/>
        <v>152</v>
      </c>
      <c r="AK14" s="1211">
        <f t="shared" si="3"/>
        <v>245</v>
      </c>
      <c r="AL14" s="1211">
        <f t="shared" si="3"/>
        <v>0</v>
      </c>
      <c r="AM14" s="1211">
        <f t="shared" si="3"/>
        <v>0</v>
      </c>
      <c r="AN14" s="1211">
        <f t="shared" si="3"/>
        <v>0</v>
      </c>
      <c r="AO14" s="1203">
        <f>IF(ISNUMBER(((NºAsuntos!I14/NºAsuntos!G14)*11)/factor_trimestre),((NºAsuntos!I14/NºAsuntos!G14)*11)/factor_trimestre," - ")</f>
        <v>8.7118110236220474</v>
      </c>
      <c r="AP14" s="1213" t="str">
        <f>IF(ISNUMBER(Datos!CI14/Datos!CJ14),Datos!CI14/Datos!CJ14," - ")</f>
        <v xml:space="preserve"> - </v>
      </c>
      <c r="AQ14" s="1236">
        <f t="shared" ref="AQ14:AV14" si="4">SUBTOTAL(9,AQ9:AQ13)</f>
        <v>0</v>
      </c>
      <c r="AR14" s="1236">
        <f t="shared" si="4"/>
        <v>-1.3490725126475547E-2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1935</v>
      </c>
      <c r="G17" s="552">
        <f>IF(ISNUMBER(IF(D_I="SI",Datos!I17,Datos!I17+Datos!AC17)),IF(D_I="SI",Datos!I17,Datos!I17+Datos!AC17)," - ")</f>
        <v>2116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1011</v>
      </c>
      <c r="Z17" s="805">
        <f>IF(ISNUMBER(Datos!Q17),Datos!Q17," - ")</f>
        <v>19</v>
      </c>
      <c r="AA17" s="551">
        <f>IF(ISNUMBER(IF(D_I="SI",Datos!L17,Datos!L17+Datos!AF17)),IF(D_I="SI",Datos!L17,Datos!L17+Datos!AF17)," - ")</f>
        <v>1600</v>
      </c>
      <c r="AB17" s="549"/>
      <c r="AC17" s="549"/>
      <c r="AD17" s="563"/>
      <c r="AE17" s="563">
        <f>IF(ISNUMBER(Datos!R17),Datos!R17," - ")</f>
        <v>175</v>
      </c>
      <c r="AF17" s="693" t="str">
        <f>IF(ISNUMBER(Datos!BV17),Datos!BV17," - ")</f>
        <v xml:space="preserve"> - </v>
      </c>
      <c r="AG17" s="552"/>
      <c r="AH17" s="553"/>
      <c r="AI17" s="554"/>
      <c r="AJ17" s="552">
        <f>IF(ISNUMBER(Datos!M17),Datos!M17," - ")</f>
        <v>105</v>
      </c>
      <c r="AK17" s="693">
        <f>IF(ISNUMBER(Datos!N17),Datos!N17," - ")</f>
        <v>761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4.7477744807121658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33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1935</v>
      </c>
      <c r="G23" s="1197">
        <f>SUBTOTAL(9,G16:G22)</f>
        <v>2161</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1025</v>
      </c>
      <c r="Z23" s="1240">
        <f t="shared" si="6"/>
        <v>19</v>
      </c>
      <c r="AA23" s="1240">
        <f t="shared" si="6"/>
        <v>1633</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105</v>
      </c>
      <c r="AK23" s="1240">
        <f t="shared" si="6"/>
        <v>773</v>
      </c>
      <c r="AL23" s="1240">
        <f t="shared" si="6"/>
        <v>0</v>
      </c>
      <c r="AM23" s="1240">
        <f t="shared" si="6"/>
        <v>0</v>
      </c>
      <c r="AN23" s="1240">
        <f t="shared" si="6"/>
        <v>0</v>
      </c>
      <c r="AO23" s="1242">
        <f>IF(ISNUMBER(((NºAsuntos!I23/NºAsuntos!G23)*11)/factor_trimestre),((NºAsuntos!I23/NºAsuntos!G23)*11)/factor_trimestre," - ")</f>
        <v>4.7795121951219519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1937</v>
      </c>
      <c r="G31" s="1117">
        <f t="shared" si="12"/>
        <v>2163</v>
      </c>
      <c r="H31" s="1118">
        <f t="shared" si="12"/>
        <v>0</v>
      </c>
      <c r="I31" s="1117">
        <f t="shared" si="12"/>
        <v>0</v>
      </c>
      <c r="J31" s="1119">
        <f t="shared" si="12"/>
        <v>0</v>
      </c>
      <c r="K31" s="1117">
        <f t="shared" si="12"/>
        <v>0</v>
      </c>
      <c r="L31" s="1120">
        <f t="shared" si="12"/>
        <v>0</v>
      </c>
      <c r="M31" s="1117">
        <f t="shared" si="12"/>
        <v>0</v>
      </c>
      <c r="N31" s="1118">
        <f t="shared" si="12"/>
        <v>221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1027</v>
      </c>
      <c r="Z31" s="1124">
        <f t="shared" si="13"/>
        <v>245</v>
      </c>
      <c r="AA31" s="1125">
        <f t="shared" si="13"/>
        <v>1633</v>
      </c>
      <c r="AB31" s="1125">
        <f t="shared" si="13"/>
        <v>0</v>
      </c>
      <c r="AC31" s="1125">
        <f t="shared" si="13"/>
        <v>0</v>
      </c>
      <c r="AD31" s="1126">
        <f t="shared" si="13"/>
        <v>0</v>
      </c>
      <c r="AE31" s="1126">
        <f t="shared" si="13"/>
        <v>2519</v>
      </c>
      <c r="AF31" s="1127">
        <f t="shared" si="13"/>
        <v>0</v>
      </c>
      <c r="AG31" s="1128">
        <f t="shared" si="13"/>
        <v>0</v>
      </c>
      <c r="AH31" s="1129">
        <f t="shared" si="13"/>
        <v>0</v>
      </c>
      <c r="AI31" s="1127">
        <f t="shared" si="13"/>
        <v>0</v>
      </c>
      <c r="AJ31" s="1117">
        <f t="shared" si="13"/>
        <v>257</v>
      </c>
      <c r="AK31" s="1117">
        <f t="shared" si="13"/>
        <v>1018</v>
      </c>
      <c r="AL31" s="1117">
        <f t="shared" si="13"/>
        <v>0</v>
      </c>
      <c r="AM31" s="1130">
        <f t="shared" si="13"/>
        <v>0</v>
      </c>
      <c r="AN31" s="1120">
        <f>IF(ISNUMBER(Datos!K31/Datos!J31),Datos!K31/Datos!J31," - ")</f>
        <v>1.38599487617421</v>
      </c>
      <c r="AO31" s="1120">
        <f>IF(ISNUMBER(FIND("06",Criterios!A8,1)),(IF(ISNUMBER(((Datos!R31/Datos!Q31)*11)/factor_trimestre),((Datos!R31/Datos!Q31)*11)/factor_trimestre," - ")),(IF(ISNUMBER(((Datos!L31/Datos!K31)*11)/factor_trimestre),((Datos!L31/Datos!K31)*11)/factor_trimestre," - ")))</f>
        <v>6.3419593345656198</v>
      </c>
      <c r="AP31" s="1131" t="str">
        <f>IF(ISNUMBER(Datos!CI31/Datos!CJ31),Datos!CI31/Datos!CJ31," - ")</f>
        <v xml:space="preserve"> - </v>
      </c>
      <c r="AQ31" s="1131">
        <f>IF(OR(ISNUMBER(FIND("01",Criterios!A8,1)),ISNUMBER(FIND("02",Criterios!A8,1)),ISNUMBER(FIND("03",Criterios!A8,1)),ISNUMBER(FIND("04",Criterios!A8,1))),(J31-Y31+K31)/(F31-K31),(I31-Y31+K31)/(F31-K31))</f>
        <v>-0.53020134228187921</v>
      </c>
      <c r="AR31" s="1131">
        <f>IF(ISNUMBER((Datos!P31-Datos!Q31+O31)/(Datos!R31-Datos!P31+Datos!Q31-O31)),(Datos!P31-Datos!Q31+O31)/(Datos!R31-Datos!P31+Datos!Q31-O31)," - ")</f>
        <v>-9.4376720408965789E-3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998.71370605727986</v>
      </c>
      <c r="G33" s="674">
        <f>IF(ISNUMBER(STDEV(G8:G30)),STDEV(G8:G30),"-")</f>
        <v>1038.9050325543076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70.946156646129481</v>
      </c>
      <c r="AK33" s="276"/>
      <c r="AL33" s="276">
        <f>IF(ISNUMBER(STDEV(AL8:AL30)),STDEV(AL8:AL30),"-")</f>
        <v>0</v>
      </c>
      <c r="AM33" s="278">
        <f>IF(ISNUMBER(STDEV(AM8:AM30)),STDEV(AM8:AM30),"-")</f>
        <v>0</v>
      </c>
      <c r="AN33" s="660">
        <f>IF(ISNUMBER(STDEV(AN8:AN30)),STDEV(AN8:AN30),"-")</f>
        <v>0</v>
      </c>
      <c r="AO33" s="661">
        <f>IF(ISNUMBER(STDEV(AO8:AO30)),STDEV(AO8:AO30),"-")</f>
        <v>3.2993836593861845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hPKP/4mF6+Jc/gxoedIsFaaFH76R1e9pDWsKj/rSpj1BVQizcJpUmlqSFgfpIzs7BFwT0edqcknCI4ev6E/zg==" saltValue="N9YnZFvEWTN+APdBskvO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rajQRAEz29SS/VJioJdff1+rTOjnpeJYSu0R+pqb+XglLuDZXt4sYa96k+f1kcaFdNb5f9ZTbC9j7Q/82MgDQ==" saltValue="zeOyn7JHAIlB3hRmPxcO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iNJT4e7LwA4Mzb1GWFbvZovayjOQLeKMPkljADpO64dbFNKys2VD+uscbmTDGj/OCgM5WkE98CWjRxpR4PQA==" saltValue="+LP0ht8tSbmuxc1l5bZd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ROQUE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0.23937007874015748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0.16926020589032317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BL966nmT4Y2ilWGsZ4/BxM6WzdQZaIjZNnYq8OcV8zW5Yx7u1+5mFZ6B5tKXsnave7HKXFjaYvuilE3VYHpcQ==" saltValue="bdmO8FQR7/9vUVOfzkJ1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dWNKzXPARYfWZSfvB0G1opVuRKZs5vqP+NzNqA4h6/qsY1mzVRfAAUbOnOcZaGl9Knx6UC9V5/LSHZ8JppfAA==" saltValue="OxosQ7ore8V5FCE5OJ4l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ROQUE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1959</v>
      </c>
      <c r="D12" s="452">
        <f>IF(ISNUMBER(C12/Datos!BH12),C12/Datos!BH12," - ")</f>
        <v>653</v>
      </c>
      <c r="E12" s="451">
        <f>IF(ISNUMBER(IF(J_V="SI",Datos!J12,Datos!J12+Datos!Z12)),IF(J_V="SI",Datos!J12,Datos!J12+Datos!Z12)," - ")</f>
        <v>518</v>
      </c>
      <c r="F12" s="452">
        <f>IF(ISNUMBER(E12/B12),E12/B12," - ")</f>
        <v>172.66666666666666</v>
      </c>
      <c r="G12" s="451">
        <f>IF(ISNUMBER(IF(J_V="SI",Datos!K12,Datos!K12+Datos!AA12)),IF(J_V="SI",Datos!K12,Datos!K12+Datos!AA12)," - ")</f>
        <v>633</v>
      </c>
      <c r="H12" s="452">
        <f>IF(ISNUMBER(G12/B12),G12/B12," - ")</f>
        <v>211</v>
      </c>
      <c r="I12" s="451">
        <f>IF(ISNUMBER(IF(J_V="SI",Datos!L12,Datos!L12+Datos!AB12)),IF(J_V="SI",Datos!L12,Datos!L12+Datos!AB12)," - ")</f>
        <v>1844</v>
      </c>
      <c r="J12" s="452">
        <f>IF(ISNUMBER(I12/B12),I12/B12," - ")</f>
        <v>614.66666666666663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1961</v>
      </c>
      <c r="D14" s="1147" t="str">
        <f>IF(ISNUMBER(C14/Datos!BI14),C14/Datos!BI14," - ")</f>
        <v xml:space="preserve"> - </v>
      </c>
      <c r="E14" s="1146">
        <f>SUBTOTAL(9,E8:E13)</f>
        <v>518</v>
      </c>
      <c r="F14" s="1147">
        <f>IF(ISNUMBER(E14/B14),E14/B14," - ")</f>
        <v>172.66666666666666</v>
      </c>
      <c r="G14" s="1146">
        <f>SUBTOTAL(9,G8:G13)</f>
        <v>635</v>
      </c>
      <c r="H14" s="1147">
        <f>IF(ISNUMBER(G14/B14),G14/B14," - ")</f>
        <v>211.66666666666666</v>
      </c>
      <c r="I14" s="1146">
        <f>SUBTOTAL(9,I8:I13)</f>
        <v>1844</v>
      </c>
      <c r="J14" s="1147">
        <f>IF(ISNUMBER(I14/B14),I14/B14," - ")</f>
        <v>614.66666666666663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2116</v>
      </c>
      <c r="D17" s="452">
        <f>IF(ISNUMBER(C17/Datos!BH17),C17/Datos!BH17," - ")</f>
        <v>705.33333333333337</v>
      </c>
      <c r="E17" s="451">
        <f>IF(ISNUMBER(IF(D_I="SI",Datos!J17,Datos!J17+Datos!AD17)),IF(D_I="SI",Datos!J17,Datos!J17+Datos!AD17)," - ")</f>
        <v>676</v>
      </c>
      <c r="F17" s="452">
        <f>IF(ISNUMBER(E17/B17),E17/B17," - ")</f>
        <v>225.33333333333334</v>
      </c>
      <c r="G17" s="451">
        <f>IF(ISNUMBER(IF(D_I="SI",Datos!K17,Datos!K17+Datos!AE17)),IF(D_I="SI",Datos!K17,Datos!K17+Datos!AE17)," - ")</f>
        <v>1011</v>
      </c>
      <c r="H17" s="452">
        <f>IF(ISNUMBER(G17/B17),G17/B17," - ")</f>
        <v>337</v>
      </c>
      <c r="I17" s="451">
        <f>IF(ISNUMBER(IF(D_I="SI",Datos!L17,Datos!L17+Datos!AF17)),IF(D_I="SI",Datos!L17,Datos!L17+Datos!AF17)," - ")</f>
        <v>1600</v>
      </c>
      <c r="J17" s="452">
        <f>IF(ISNUMBER(I17/B17),I17/B17," - ")</f>
        <v>533.33333333333337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2</v>
      </c>
      <c r="F18" s="452">
        <f>IF(ISNUMBER(E18/B18),E18/B18," - ")</f>
        <v>2</v>
      </c>
      <c r="G18" s="451">
        <f>IF(ISNUMBER(IF(D_I="SI",Datos!K18,Datos!K18+Datos!AE18)),IF(D_I="SI",Datos!K18,Datos!K18+Datos!AE18)," - ")</f>
        <v>14</v>
      </c>
      <c r="H18" s="452">
        <f>IF(ISNUMBER(G18/B18),G18/B18," - ")</f>
        <v>14</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2161</v>
      </c>
      <c r="D23" s="1147" t="str">
        <f>IF(ISNUMBER(C23/Datos!BI23),C23/Datos!BI23," - ")</f>
        <v xml:space="preserve"> - </v>
      </c>
      <c r="E23" s="1146">
        <f>SUBTOTAL(9,E15:E22)</f>
        <v>678</v>
      </c>
      <c r="F23" s="1147">
        <f>IF(ISNUMBER(E23/B23),E23/B23," - ")</f>
        <v>226</v>
      </c>
      <c r="G23" s="1146">
        <f>SUBTOTAL(9,G15:G22)</f>
        <v>1025</v>
      </c>
      <c r="H23" s="1147">
        <f>IF(ISNUMBER(G23/B23),G23/B23," - ")</f>
        <v>341.66666666666669</v>
      </c>
      <c r="I23" s="1146">
        <f>SUBTOTAL(9,I15:I22)</f>
        <v>1633</v>
      </c>
      <c r="J23" s="1147">
        <f>IF(ISNUMBER(I23/B23),I23/B23," - ")</f>
        <v>544.33333333333337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4122</v>
      </c>
      <c r="D31" s="1085" t="str">
        <f>IF(ISNUMBER(C31/Datos!BI31),C31/Datos!BI31," - ")</f>
        <v xml:space="preserve"> - </v>
      </c>
      <c r="E31" s="1084">
        <f>SUBTOTAL(9,E9:E30)</f>
        <v>1196</v>
      </c>
      <c r="F31" s="1085">
        <f>IF(ISNUMBER(E31/B31),E31/B31," - ")</f>
        <v>398.66666666666669</v>
      </c>
      <c r="G31" s="1084">
        <f>SUBTOTAL(9,G9:G30)</f>
        <v>1660</v>
      </c>
      <c r="H31" s="1085">
        <f>IF(ISNUMBER(G31/B31),G31/B31," - ")</f>
        <v>553.33333333333337</v>
      </c>
      <c r="I31" s="1084">
        <f>SUBTOTAL(9,I9:I30)</f>
        <v>3477</v>
      </c>
      <c r="J31" s="1085">
        <f>IF(ISNUMBER(I31/B31),I31/B31," - ")</f>
        <v>1159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gJkXaKpuZ0lELsbrhxtn2aRnn0TjkGF7aZj0aOlhAN5MP8h2wqFZ/44gOTPEqFl7Z0hoArvTHjsZMr3i4yMbA==" saltValue="Cg5PZloJ3wDzT5CYwyvq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ROQUE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152</v>
      </c>
      <c r="AM12" s="914">
        <f>IF(ISNUMBER(Datos!N12+DatosP!N17),Datos!N12+DatosP!N17," - ")</f>
        <v>245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8.7393364928909953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-1.3490725126475547E-2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226</v>
      </c>
      <c r="AE14" s="1257">
        <f t="shared" si="1"/>
        <v>0</v>
      </c>
      <c r="AF14" s="1257">
        <f t="shared" si="1"/>
        <v>0</v>
      </c>
      <c r="AG14" s="1257">
        <f t="shared" si="1"/>
        <v>0</v>
      </c>
      <c r="AH14" s="1257">
        <f t="shared" si="1"/>
        <v>2340</v>
      </c>
      <c r="AI14" s="1257">
        <f t="shared" si="1"/>
        <v>0</v>
      </c>
      <c r="AJ14" s="1257">
        <f t="shared" si="1"/>
        <v>0</v>
      </c>
      <c r="AK14" s="1257">
        <f t="shared" si="1"/>
        <v>0</v>
      </c>
      <c r="AL14" s="1257">
        <f t="shared" si="1"/>
        <v>152</v>
      </c>
      <c r="AM14" s="1257">
        <f t="shared" si="1"/>
        <v>245</v>
      </c>
      <c r="AN14" s="1257">
        <f t="shared" si="1"/>
        <v>0</v>
      </c>
      <c r="AO14" s="1257">
        <f t="shared" si="1"/>
        <v>0</v>
      </c>
      <c r="AP14" s="1262">
        <f>IF(ISNUMBER(((Datos!L14/Datos!K14)*11)/factor_trimestre),((Datos!L14/Datos!K14)*11)/factor_trimestre," - ")</f>
        <v>9.0200668896321083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-1.3490725126475547E-2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4.7795121951219519</v>
      </c>
      <c r="AQ23" s="1262">
        <f>IF(ISNUMBER(((Datos!M23/Datos!L23)*11)/factor_trimestre),((Datos!M23/Datos!L23)*11)/factor_trimestre," - ")</f>
        <v>0.19289650949173301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4.6783625730994149E-2</v>
      </c>
      <c r="AW23" s="1265">
        <f>IF(ISNUMBER((Datos!Q23-Datos!R23)/(Datos!S23-Datos!Q23+Datos!R23)),(Datos!Q23-Datos!R23)/(Datos!S23-Datos!Q23+Datos!R23)," - ")</f>
        <v>-8.5287846481876331E-2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226</v>
      </c>
      <c r="AE31" s="1284">
        <f t="shared" si="9"/>
        <v>0</v>
      </c>
      <c r="AF31" s="1285">
        <f t="shared" si="9"/>
        <v>0</v>
      </c>
      <c r="AG31" s="1285">
        <f t="shared" si="9"/>
        <v>0</v>
      </c>
      <c r="AH31" s="1285">
        <f t="shared" si="9"/>
        <v>2340</v>
      </c>
      <c r="AI31" s="1285">
        <f t="shared" si="9"/>
        <v>0</v>
      </c>
      <c r="AJ31" s="1286">
        <f t="shared" si="9"/>
        <v>0</v>
      </c>
      <c r="AK31" s="1286">
        <f t="shared" si="9"/>
        <v>0</v>
      </c>
      <c r="AL31" s="1278">
        <f t="shared" si="9"/>
        <v>152</v>
      </c>
      <c r="AM31" s="1278">
        <f t="shared" si="9"/>
        <v>245</v>
      </c>
      <c r="AN31" s="1278">
        <f t="shared" si="9"/>
        <v>0</v>
      </c>
      <c r="AO31" s="1278">
        <f t="shared" si="9"/>
        <v>0</v>
      </c>
      <c r="AP31" s="1278">
        <f>IF(ISNUMBER(((Datos!L31/Datos!K31)*11)/factor_trimestre),((Datos!L31/Datos!K31)*11)/factor_trimestre," - ")</f>
        <v>6.3419593345656198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-9.4376720408965789E-3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78.49246248313699</v>
      </c>
      <c r="AM33" s="1006"/>
      <c r="AN33" s="1006">
        <f>IF(ISNUMBER(STDEV(AN8:AN30)),STDEV(AN8:AN30),"-")</f>
        <v>0</v>
      </c>
      <c r="AO33" s="1012">
        <f>IF(ISNUMBER(STDEV(AO8:AO30)),STDEV(AO8:AO30),"-")</f>
        <v>0</v>
      </c>
      <c r="AP33" s="1065">
        <f>IF(ISNUMBER(STDEV(AP8:AP30)),STDEV(AP8:AP30),"-")</f>
        <v>4.2261356264196586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HL/qcNRjHYdnc6B2pB4EX98OQSzQiN9sB1wEmhGZRof+Dp1lpy9eUMDgAhOPADBgLQLwj6WjY2tzCOg2tXdw==" saltValue="lK5odN5Emt8A6cadaQ6x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ROQUE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clGnglV2W6i0KomQc4zk55e6+3TX9KiNgzpUjdclSn7u1S2kZzzJgSBCKqWQiOrbnCxE0WyND1IQ5ZXYMT73Q==" saltValue="WXVBrC0FRfAMZ/Lrm49N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ROQUE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152</v>
      </c>
      <c r="E12" s="452">
        <f t="shared" si="0"/>
        <v>50.666666666666664</v>
      </c>
      <c r="F12" s="451">
        <f>IF(ISNUMBER(Datos!N12),Datos!N12," - ")</f>
        <v>245</v>
      </c>
      <c r="G12" s="452">
        <f t="shared" si="1"/>
        <v>81.666666666666671</v>
      </c>
      <c r="H12" s="451">
        <f>IF(ISNUMBER(Datos!O12),Datos!O12," - ")</f>
        <v>270</v>
      </c>
      <c r="I12" s="452">
        <f t="shared" si="2"/>
        <v>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152</v>
      </c>
      <c r="E14" s="1147">
        <f t="shared" si="0"/>
        <v>38</v>
      </c>
      <c r="F14" s="1146">
        <f>SUBTOTAL(9,F9:F13)</f>
        <v>245</v>
      </c>
      <c r="G14" s="1147">
        <f t="shared" si="1"/>
        <v>61.25</v>
      </c>
      <c r="H14" s="1146">
        <f>SUBTOTAL(9,H9:H13)</f>
        <v>270</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105</v>
      </c>
      <c r="E17" s="452">
        <f t="shared" si="3"/>
        <v>35</v>
      </c>
      <c r="F17" s="451">
        <f>IF(ISNUMBER(Datos!N17),Datos!N17," - ")</f>
        <v>761</v>
      </c>
      <c r="G17" s="452">
        <f t="shared" si="4"/>
        <v>253.66666666666666</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105</v>
      </c>
      <c r="E23" s="1147">
        <f t="shared" si="3"/>
        <v>26.25</v>
      </c>
      <c r="F23" s="1146">
        <f>SUBTOTAL(9,F16:F22)</f>
        <v>773</v>
      </c>
      <c r="G23" s="1147">
        <f t="shared" si="4"/>
        <v>193.25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257</v>
      </c>
      <c r="E31" s="1085">
        <f>IF(ISNUMBER(D31/B31),D31/B31," - ")</f>
        <v>85.666666666666671</v>
      </c>
      <c r="F31" s="1084">
        <f>SUBTOTAL(9,F8:F30)</f>
        <v>1018</v>
      </c>
      <c r="G31" s="1085">
        <f>IF(ISNUMBER(F31/B31),F31/B31," - ")</f>
        <v>339.33333333333331</v>
      </c>
      <c r="H31" s="1084">
        <f>SUBTOTAL(9,H8:H30)</f>
        <v>278</v>
      </c>
      <c r="I31" s="1085">
        <f>IF(ISNUMBER(H31/B31),H31/B31," - ")</f>
        <v>92.666666666666671</v>
      </c>
    </row>
    <row r="34" spans="1:1">
      <c r="A34" s="439" t="str">
        <f>Criterios!A4</f>
        <v>Fecha Informe: 05 may. 2023</v>
      </c>
    </row>
    <row r="39" spans="1:1">
      <c r="A39" s="462"/>
    </row>
  </sheetData>
  <sheetProtection algorithmName="SHA-512" hashValue="yWUW996rjbdTb057T6nhrB07tHt7NXaj2FY1TTajq+jVs0Kv5z2ZdETSQNzs2WhitTalXFV8Ywh5Ml+7Dhyxrg==" saltValue="PULrPP3fvKg63K4AuP4z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ROQUE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194</v>
      </c>
      <c r="C12" s="489">
        <f>IF(ISNUMBER(Datos!Q12),Datos!Q12," - ")</f>
        <v>226</v>
      </c>
      <c r="D12" s="456">
        <f>IF(ISNUMBER(Datos!R12),Datos!R12," - ")</f>
        <v>2340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194</v>
      </c>
      <c r="C14" s="1150">
        <f>SUBTOTAL(9,C9:C13)</f>
        <v>226</v>
      </c>
      <c r="D14" s="1148">
        <f>SUBTOTAL(9,D9:D13)</f>
        <v>2340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19</v>
      </c>
      <c r="D17" s="456">
        <f>IF(ISNUMBER(Datos!R17),Datos!R17," - ")</f>
        <v>175</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19</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221</v>
      </c>
      <c r="C31" s="1089">
        <f>SUBTOTAL(9,C8:C30)</f>
        <v>245</v>
      </c>
      <c r="D31" s="1090">
        <f>SUBTOTAL(9,D8:D30)</f>
        <v>2519</v>
      </c>
    </row>
    <row r="32" spans="1:4" ht="7.5" customHeight="1"/>
    <row r="33" spans="1:1" ht="6" customHeight="1"/>
    <row r="34" spans="1:1">
      <c r="A34" s="439" t="str">
        <f>Criterios!A4</f>
        <v>Fecha Informe: 05 may. 2023</v>
      </c>
    </row>
    <row r="39" spans="1:1">
      <c r="A39" s="462"/>
    </row>
  </sheetData>
  <sheetProtection algorithmName="SHA-512" hashValue="mTsyVgS/pQIx1twGi/K6wyJwg+e2mUZ1t4h5L4x8GfjpCfN5VpzZGUW7oDLiqRZueVH4pbmQMeeNurRm6587hQ==" saltValue="s4tLpn/rnMyAoQ/hObz3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ROQUE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-9.0529247910863503E-2</v>
      </c>
      <c r="C12" s="515">
        <f>IF(ISNUMBER(
   IF(J_V="SI",(Datos!J12-Datos!T12)/Datos!T12,(Datos!J12+Datos!Z12-(Datos!T12+Datos!AH12))/(Datos!T12+Datos!AH12))
     ),IF(J_V="SI",(Datos!J12-Datos!T12)/Datos!T12,(Datos!J12+Datos!Z12-(Datos!T12+Datos!AH12))/(Datos!T12+Datos!AH12))," - ")</f>
        <v>1.9342359767891683E-3</v>
      </c>
      <c r="D12" s="515">
        <f>IF(ISNUMBER(
   IF(J_V="SI",(Datos!K12-Datos!U12)/Datos!U12,(Datos!K12+Datos!AA12-(Datos!U12+Datos!AI12))/(Datos!U12+Datos!AI12))
     ),IF(J_V="SI",(Datos!K12-Datos!U12)/Datos!U12,(Datos!K12+Datos!AA12-(Datos!U12+Datos!AI12))/(Datos!U12+Datos!AI12))," - ")</f>
        <v>0.23391812865497075</v>
      </c>
      <c r="E12" s="515">
        <f>IF(ISNUMBER(
   IF(J_V="SI",(Datos!L12-Datos!V12)/Datos!V12,(Datos!L12+Datos!AB12-(Datos!V12+Datos!AJ12))/(Datos!V12+Datos!AJ12))
     ),IF(J_V="SI",(Datos!L12-Datos!V12)/Datos!V12,(Datos!L12+Datos!AB12-(Datos!V12+Datos!AJ12))/(Datos!V12+Datos!AJ12))," - ")</f>
        <v>-0.1808085295424256</v>
      </c>
      <c r="F12" s="515">
        <f>IF(ISNUMBER((Datos!M12-Datos!W12)/Datos!W12),(Datos!M12-Datos!W12)/Datos!W12," - ")</f>
        <v>0.85365853658536583</v>
      </c>
      <c r="G12" s="516">
        <f>IF(ISNUMBER((Datos!N12-Datos!X12)/Datos!X12),(Datos!N12-Datos!X12)/Datos!X12," - ")</f>
        <v>0.66666666666666663</v>
      </c>
      <c r="H12" s="514">
        <f>IF(ISNUMBER(((NºAsuntos!G12/NºAsuntos!E12)-Datos!BD12)/Datos!BD12),((NºAsuntos!G12/NºAsuntos!E12)-Datos!BD12)/Datos!BD12," - ")</f>
        <v>0.23153604732552083</v>
      </c>
      <c r="I12" s="515">
        <f>IF(ISNUMBER(((NºAsuntos!I12/NºAsuntos!G12)-Datos!BE12)/Datos!BE12),((NºAsuntos!I12/NºAsuntos!G12)-Datos!BE12)/Datos!BE12," - ")</f>
        <v>-0.33610549076661034</v>
      </c>
      <c r="J12" s="521">
        <f>IF(ISNUMBER((('Resol  Asuntos'!D12/NºAsuntos!G12)-Datos!BF12)/Datos!BF12),(('Resol  Asuntos'!D12/NºAsuntos!G12)-Datos!BF12)/Datos!BF12," - ")</f>
        <v>-0.16200793113453907</v>
      </c>
      <c r="K12" s="522">
        <f>IF(ISNUMBER((((NºAsuntos!C12+NºAsuntos!E12)/NºAsuntos!G12)-Datos!BG12)/Datos!BG12),(((NºAsuntos!C12+NºAsuntos!E12)/NºAsuntos!G12)-Datos!BG12)/Datos!BG12," - ")</f>
        <v>-0.24843633834355658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-9.0445269016697583E-2</v>
      </c>
      <c r="C14" s="1152">
        <f>IF(ISNUMBER(
   IF(J_V="SI",(Datos!J14-Datos!T14)/Datos!T14,(Datos!J14+Datos!Z14-(Datos!T14+Datos!AH14))/(Datos!T14+Datos!AH14))
     ),IF(J_V="SI",(Datos!J14-Datos!T14)/Datos!T14,(Datos!J14+Datos!Z14-(Datos!T14+Datos!AH14))/(Datos!T14+Datos!AH14))," - ")</f>
        <v>1.9342359767891683E-3</v>
      </c>
      <c r="D14" s="1152">
        <f>IF(ISNUMBER(
   IF(J_V="SI",(Datos!K14-Datos!U14)/Datos!U14,(Datos!K14+Datos!AA14-(Datos!U14+Datos!AI14))/(Datos!U14+Datos!AI14))
     ),IF(J_V="SI",(Datos!K14-Datos!U14)/Datos!U14,(Datos!K14+Datos!AA14-(Datos!U14+Datos!AI14))/(Datos!U14+Datos!AI14))," - ")</f>
        <v>0.23781676413255359</v>
      </c>
      <c r="E14" s="1152">
        <f>IF(ISNUMBER(
   IF(J_V="SI",(Datos!L14-Datos!V14)/Datos!V14,(Datos!L14+Datos!AB14-(Datos!V14+Datos!AJ14))/(Datos!V14+Datos!AJ14))
     ),IF(J_V="SI",(Datos!L14-Datos!V14)/Datos!V14,(Datos!L14+Datos!AB14-(Datos!V14+Datos!AJ14))/(Datos!V14+Datos!AJ14))," - ")</f>
        <v>-0.18153573013759433</v>
      </c>
      <c r="F14" s="1153">
        <f>IF(ISNUMBER((Datos!M14-Datos!W14)/Datos!W14),(Datos!M14-Datos!W14)/Datos!W14," - ")</f>
        <v>0.85365853658536583</v>
      </c>
      <c r="G14" s="1154">
        <f>IF(ISNUMBER((Datos!N14-Datos!X14)/Datos!X14),(Datos!N14-Datos!X14)/Datos!X14," - ")</f>
        <v>0.66666666666666663</v>
      </c>
      <c r="H14" s="1154">
        <f>IF(ISNUMBER(((NºAsuntos!G14/NºAsuntos!E14)-Datos!BD14)/Datos!BD14),((NºAsuntos!G14/NºAsuntos!E14)-Datos!BD14)/Datos!BD14," - ")</f>
        <v>0.2354271564797881</v>
      </c>
      <c r="I14" s="1154">
        <f>IF(ISNUMBER(((NºAsuntos!I14/NºAsuntos!G14)-Datos!BE14)/Datos!BE14),((NºAsuntos!I14/NºAsuntos!G14)-Datos!BE14)/Datos!BE14," - ")</f>
        <v>-0.33878398355997774</v>
      </c>
      <c r="J14" s="1154">
        <f>IF(ISNUMBER((('Resol  Asuntos'!D14/NºAsuntos!G14)-Datos!BF14)/Datos!BF14),(('Resol  Asuntos'!D14/NºAsuntos!G14)-Datos!BF14)/Datos!BF14," - ")</f>
        <v>-0.16464727623332795</v>
      </c>
      <c r="K14" s="1154">
        <f>IF(ISNUMBER((((NºAsuntos!C14+NºAsuntos!E14)/NºAsuntos!G14)-Datos!BG14)/Datos!BG14),(((NºAsuntos!C14+NºAsuntos!E14)/NºAsuntos!G14)-Datos!BG14)/Datos!BG14," - ")</f>
        <v>-0.25075956414539091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0.27469879518072288</v>
      </c>
      <c r="C17" s="515">
        <f>IF(ISNUMBER(
   IF(D_I="SI",(Datos!J17-Datos!T17)/Datos!T17,(Datos!J17+Datos!AD17-(Datos!T17+Datos!AL17))/(Datos!T17+Datos!AL17))
     ),IF(D_I="SI",(Datos!J17-Datos!T17)/Datos!T17,(Datos!J17+Datos!AD17-(Datos!T17+Datos!AL17))/(Datos!T17+Datos!AL17))," - ")</f>
        <v>-0.11052631578947368</v>
      </c>
      <c r="D17" s="515">
        <f>IF(ISNUMBER(
   IF(D_I="SI",(Datos!K17-Datos!U17)/Datos!U17,(Datos!K17+Datos!AE17-(Datos!U17+Datos!AM17))/(Datos!U17+Datos!AM17))
     ),IF(D_I="SI",(Datos!K17-Datos!U17)/Datos!U17,(Datos!K17+Datos!AE17-(Datos!U17+Datos!AM17))/(Datos!U17+Datos!AM17))," - ")</f>
        <v>0.27974683544303797</v>
      </c>
      <c r="E17" s="515">
        <f>IF(ISNUMBER(
   IF(D_I="SI",(Datos!L17-Datos!V17)/Datos!V17,(Datos!L17+Datos!AF17-(Datos!V17+Datos!AN17))/(Datos!V17+Datos!AN17))
     ),IF(D_I="SI",(Datos!L17-Datos!V17)/Datos!V17,(Datos!L17+Datos!AF17-(Datos!V17+Datos!AN17))/(Datos!V17+Datos!AN17))," - ")</f>
        <v>-6.4874342489772058E-2</v>
      </c>
      <c r="F17" s="515">
        <f>IF(ISNUMBER((Datos!M17-Datos!W17)/Datos!W17),(Datos!M17-Datos!W17)/Datos!W17," - ")</f>
        <v>0.16666666666666666</v>
      </c>
      <c r="G17" s="516">
        <f>IF(ISNUMBER((Datos!N17-Datos!X17)/Datos!X17),(Datos!N17-Datos!X17)/Datos!X17," - ")</f>
        <v>0.39889705882352944</v>
      </c>
      <c r="H17" s="514">
        <f>IF(ISNUMBER(((NºAsuntos!G17/NºAsuntos!E17)-Datos!BD17)/Datos!BD17),((NºAsuntos!G17/NºAsuntos!E17)-Datos!BD17)/Datos!BD17," - ")</f>
        <v>0.4387686315631788</v>
      </c>
      <c r="I17" s="515">
        <f>IF(ISNUMBER(((NºAsuntos!I17/NºAsuntos!G17)-Datos!BE17)/Datos!BE17),((NºAsuntos!I17/NºAsuntos!G17)-Datos!BE17)/Datos!BE17," - ")</f>
        <v>-0.26928855644601374</v>
      </c>
      <c r="J17" s="521">
        <f>IF(ISNUMBER((('Resol  Asuntos'!D17/NºAsuntos!G17)-Datos!BF17)/Datos!BF17),(('Resol  Asuntos'!D17/NºAsuntos!G17)-Datos!BF17)/Datos!BF17," - ")</f>
        <v>-8.8361358391031902E-2</v>
      </c>
      <c r="K17" s="522">
        <f>IF(ISNUMBER((((NºAsuntos!C17+NºAsuntos!E17)/NºAsuntos!G17)-Datos!BG17)/Datos!BG17),(((NºAsuntos!C17+NºAsuntos!E17)/NºAsuntos!G17)-Datos!BG17)/Datos!BG17," - ")</f>
        <v>-9.8478717577719421E-2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-0.19642857142857142</v>
      </c>
      <c r="C18" s="515">
        <f>IF(ISNUMBER(
   IF(D_I="SI",(Datos!J18-Datos!T18)/Datos!T18,(Datos!J18+Datos!AD18-(Datos!T18+Datos!AL18))/(Datos!T18+Datos!AL18))
     ),IF(D_I="SI",(Datos!J18-Datos!T18)/Datos!T18,(Datos!J18+Datos!AD18-(Datos!T18+Datos!AL18))/(Datos!T18+Datos!AL18))," - ")</f>
        <v>-0.77777777777777779</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-0.32653061224489793</v>
      </c>
      <c r="F18" s="515" t="str">
        <f>IF(ISNUMBER((Datos!M18-Datos!W18)/Datos!W18),(Datos!M18-Datos!W18)/Datos!W18," - ")</f>
        <v xml:space="preserve"> - </v>
      </c>
      <c r="G18" s="516">
        <f>IF(ISNUMBER((Datos!N18-Datos!X18)/Datos!X18),(Datos!N18-Datos!X18)/Datos!X18," - ")</f>
        <v>2</v>
      </c>
      <c r="H18" s="514">
        <f>IF(ISNUMBER(((NºAsuntos!G18/NºAsuntos!E18)-Datos!BD18)/Datos!BD18),((NºAsuntos!G18/NºAsuntos!E18)-Datos!BD18)/Datos!BD18," - ")</f>
        <v>2.9375</v>
      </c>
      <c r="I18" s="515">
        <f>IF(ISNUMBER(((NºAsuntos!I18/NºAsuntos!G18)-Datos!BE18)/Datos!BE18),((NºAsuntos!I18/NºAsuntos!G18)-Datos!BE18)/Datos!BE18," - ")</f>
        <v>-0.23032069970845478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-0.17362637362637362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0.25932400932400934</v>
      </c>
      <c r="C23" s="1152">
        <f>IF(ISNUMBER(
   IF(Criterios!B14="SI",(Datos!J23-Datos!T23)/Datos!T23,(Datos!J23+Datos!AD23-(Datos!T23+Datos!AL23))/(Datos!T23+Datos!AL23))
     ),IF(Criterios!B14="SI",(Datos!J23-Datos!T23)/Datos!T23,(Datos!J23+Datos!AD23-(Datos!T23+Datos!AL23))/(Datos!T23+Datos!AL23))," - ")</f>
        <v>-0.11833550065019506</v>
      </c>
      <c r="D23" s="1152">
        <f>IF(ISNUMBER(
   IF(Criterios!B14="SI",(Datos!K23-Datos!U23)/Datos!U23,(Datos!K23+Datos!AE23-(Datos!U23+Datos!AM23))/(Datos!U23+Datos!AM23))
     ),IF(Criterios!B14="SI",(Datos!K23-Datos!U23)/Datos!U23,(Datos!K23+Datos!AE23-(Datos!U23+Datos!AM23))/(Datos!U23+Datos!AM23))," - ")</f>
        <v>0.27171215880893301</v>
      </c>
      <c r="E23" s="1152">
        <f>IF(ISNUMBER(
   IF(Criterios!B14="SI",(Datos!L23-Datos!V23)/Datos!V23,(Datos!L23+Datos!AF23-(Datos!V23+Datos!AN23))/(Datos!V23+Datos!AN23))
     ),IF(Criterios!B14="SI",(Datos!L23-Datos!V23)/Datos!V23,(Datos!L23+Datos!AF23-(Datos!V23+Datos!AN23))/(Datos!V23+Datos!AN23))," - ")</f>
        <v>-7.2159090909090909E-2</v>
      </c>
      <c r="F23" s="1153">
        <f>IF(ISNUMBER((Datos!M23-Datos!W23)/Datos!W23),(Datos!M23-Datos!W23)/Datos!W23," - ")</f>
        <v>0.16666666666666666</v>
      </c>
      <c r="G23" s="1154">
        <f>IF(ISNUMBER((Datos!N23-Datos!X23)/Datos!X23),(Datos!N23-Datos!X23)/Datos!X23," - ")</f>
        <v>0.41058394160583944</v>
      </c>
      <c r="H23" s="1154">
        <f>IF(ISNUMBER(((NºAsuntos!G23/NºAsuntos!E23)-Datos!BD23)/Datos!BD23),((NºAsuntos!G23/NºAsuntos!E23)-Datos!BD23)/Datos!BD23," - ")</f>
        <v>0.44239918897355379</v>
      </c>
      <c r="I23" s="1154">
        <f>IF(ISNUMBER(((NºAsuntos!I23/NºAsuntos!G23)-Datos!BE23)/Datos!BE23),((NºAsuntos!I23/NºAsuntos!G23)-Datos!BE23)/Datos!BE23," - ")</f>
        <v>-0.27040022172949002</v>
      </c>
      <c r="J23" s="1154">
        <f>IF(ISNUMBER((('Resol  Asuntos'!D23/NºAsuntos!G23)-Datos!BF23)/Datos!BF23),(('Resol  Asuntos'!D23/NºAsuntos!G23)-Datos!BF23)/Datos!BF23," - ")</f>
        <v>-8.2601626016260213E-2</v>
      </c>
      <c r="K23" s="1154">
        <f>IF(ISNUMBER((((NºAsuntos!C23+NºAsuntos!E23)/NºAsuntos!G23)-Datos!BG23)/Datos!BG23),(((NºAsuntos!C23+NºAsuntos!E23)/NºAsuntos!G23)-Datos!BG23)/Datos!BG23," - ")</f>
        <v>-0.10164047700839191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6.4566115702479332E-2</v>
      </c>
      <c r="C31" s="1092">
        <f>IF(ISNUMBER(
   IF(J_V="SI",(Datos!J31-Datos!T31)/Datos!T31,(Datos!J31+Datos!Z31-(Datos!T31+Datos!AH31))/(Datos!T31+Datos!AH31))
     ),IF(J_V="SI",(Datos!J31-Datos!T31)/Datos!T31,(Datos!J31+Datos!Z31-(Datos!T31+Datos!AH31))/(Datos!T31+Datos!AH31))," - ")</f>
        <v>-6.9984447900466568E-2</v>
      </c>
      <c r="D31" s="1092">
        <f>IF(ISNUMBER(
   IF(J_V="SI",(Datos!K31-Datos!U31)/Datos!U31,(Datos!K31+Datos!AA31-(Datos!U31+Datos!AI31))/(Datos!U31+Datos!AI31))
     ),IF(J_V="SI",(Datos!K31-Datos!U31)/Datos!U31,(Datos!K31+Datos!AA31-(Datos!U31+Datos!AI31))/(Datos!U31+Datos!AI31))," - ")</f>
        <v>0.2585291887793783</v>
      </c>
      <c r="E31" s="1092">
        <f>IF(ISNUMBER(
   IF(J_V="SI",(Datos!L31-Datos!V31)/Datos!V31,(Datos!L31+Datos!AB31-(Datos!V31+Datos!AJ31))/(Datos!V31+Datos!AJ31))
     ),IF(J_V="SI",(Datos!L31-Datos!V31)/Datos!V31,(Datos!L31+Datos!AB31-(Datos!V31+Datos!AJ31))/(Datos!V31+Datos!AJ31))," - ")</f>
        <v>-0.13356591078993271</v>
      </c>
      <c r="F31" s="1093">
        <f>IF(ISNUMBER((Datos!M31-Datos!W31)/Datos!W31),(Datos!M31-Datos!W31)/Datos!W31," - ")</f>
        <v>0.4941860465116279</v>
      </c>
      <c r="G31" s="1094">
        <f>IF(ISNUMBER((Datos!N31-Datos!X31)/Datos!X31),(Datos!N31-Datos!X31)/Datos!X31," - ")</f>
        <v>0.46474820143884893</v>
      </c>
      <c r="H31" s="1095">
        <f>IF(ISNUMBER((Tasas!B31-Datos!BD31)/Datos!BD31),(Tasas!B31-Datos!BD31)/Datos!BD31," - ")</f>
        <v>0.35323456251695695</v>
      </c>
      <c r="I31" s="1096">
        <f>IF(ISNUMBER((Tasas!C31-Datos!BE31)/Datos!BE31),(Tasas!C31-Datos!BE31)/Datos!BE31," - ")</f>
        <v>-0.31155026285055493</v>
      </c>
      <c r="J31" s="1097">
        <f>IF(ISNUMBER((Tasas!D31-Datos!BF31)/Datos!BF31),(Tasas!D31-Datos!BF31)/Datos!BF31," - ")</f>
        <v>-0.13836866453154389</v>
      </c>
      <c r="K31" s="1097">
        <f>IF(ISNUMBER((Tasas!E31-Datos!BG31)/Datos!BG31),(Tasas!E31-Datos!BG31)/Datos!BG31," - ")</f>
        <v>-0.18077404616527373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eNoYOCHImd9xUwObFLF+wuEoBuYo35FGghfcPXFIImwtIdSmdpMH2AQ6tSTWRFYK9XWK+S/s552dD3EKSq+PQ==" saltValue="+bFHJdhlY4BY27gH1ZTC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ROQUE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1.2220077220077219</v>
      </c>
      <c r="C12" s="498">
        <f>IF(ISNUMBER(NºAsuntos!I12/NºAsuntos!G12),NºAsuntos!I12/NºAsuntos!G12," - ")</f>
        <v>2.9131121642969986</v>
      </c>
      <c r="D12" s="499">
        <f>IF(ISNUMBER('Resol  Asuntos'!D12/NºAsuntos!G12),'Resol  Asuntos'!D12/NºAsuntos!G12," - ")</f>
        <v>0.24012638230647709</v>
      </c>
      <c r="E12" s="500">
        <f>IF(ISNUMBER((NºAsuntos!C12+NºAsuntos!E12)/NºAsuntos!G12),(NºAsuntos!C12+NºAsuntos!E12)/NºAsuntos!G12," - ")</f>
        <v>3.9131121642969986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1.225868725868726</v>
      </c>
      <c r="C14" s="1156">
        <f>IF(ISNUMBER(NºAsuntos!I14/NºAsuntos!G14),NºAsuntos!I14/NºAsuntos!G14," - ")</f>
        <v>2.9039370078740157</v>
      </c>
      <c r="D14" s="1157">
        <f>IF(ISNUMBER('Resol  Asuntos'!D14/NºAsuntos!G14),'Resol  Asuntos'!D14/NºAsuntos!G14," - ")</f>
        <v>0.23937007874015748</v>
      </c>
      <c r="E14" s="1158">
        <f>IF(ISNUMBER((NºAsuntos!C14+NºAsuntos!E14)/NºAsuntos!G14),(NºAsuntos!C14+NºAsuntos!E14)/NºAsuntos!G14," - ")</f>
        <v>3.9039370078740157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1.4955621301775148</v>
      </c>
      <c r="C17" s="498">
        <f>IF(ISNUMBER(NºAsuntos!I17/NºAsuntos!G17),NºAsuntos!I17/NºAsuntos!G17," - ")</f>
        <v>1.5825914935707222</v>
      </c>
      <c r="D17" s="499">
        <f>IF(ISNUMBER('Resol  Asuntos'!D17/NºAsuntos!G17),'Resol  Asuntos'!D17/NºAsuntos!G17," - ")</f>
        <v>0.10385756676557864</v>
      </c>
      <c r="E17" s="500">
        <f>IF(ISNUMBER((NºAsuntos!C17+NºAsuntos!E17)/NºAsuntos!G17),(NºAsuntos!C17+NºAsuntos!E17)/NºAsuntos!G17," - ")</f>
        <v>2.76162215628091</v>
      </c>
      <c r="G17" s="523"/>
    </row>
    <row r="18" spans="1:7">
      <c r="A18" s="450" t="str">
        <f>Datos!A18</f>
        <v>Jdos. Violencia contra la mujer</v>
      </c>
      <c r="B18" s="497">
        <f>IF(ISNUMBER(NºAsuntos!G18/NºAsuntos!E18),NºAsuntos!G18/NºAsuntos!E18," - ")</f>
        <v>7</v>
      </c>
      <c r="C18" s="498">
        <f>IF(ISNUMBER(NºAsuntos!I18/NºAsuntos!G18),NºAsuntos!I18/NºAsuntos!G18," - ")</f>
        <v>2.3571428571428572</v>
      </c>
      <c r="D18" s="499">
        <f>IF(ISNUMBER('Resol  Asuntos'!D18/NºAsuntos!G18),'Resol  Asuntos'!D18/NºAsuntos!G18," - ")</f>
        <v>0</v>
      </c>
      <c r="E18" s="500">
        <f>IF(ISNUMBER((NºAsuntos!C18+NºAsuntos!E18)/NºAsuntos!G18),(NºAsuntos!C18+NºAsuntos!E18)/NºAsuntos!G18," - ")</f>
        <v>3.3571428571428572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1.5117994100294985</v>
      </c>
      <c r="C23" s="1156">
        <f>IF(ISNUMBER(NºAsuntos!I23/NºAsuntos!G23),NºAsuntos!I23/NºAsuntos!G23," - ")</f>
        <v>1.5931707317073172</v>
      </c>
      <c r="D23" s="1159">
        <f>IF(ISNUMBER('Resol  Asuntos'!D23/NºAsuntos!G23),'Resol  Asuntos'!D23/NºAsuntos!G23," - ")</f>
        <v>0.1024390243902439</v>
      </c>
      <c r="E23" s="1158">
        <f>IF(ISNUMBER((NºAsuntos!C23+NºAsuntos!E23)/NºAsuntos!G23),(NºAsuntos!C23+NºAsuntos!E23)/NºAsuntos!G23," - ")</f>
        <v>2.7697560975609754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1.3879598662207357</v>
      </c>
      <c r="C31" s="1099">
        <f>IF(ISNUMBER(NºAsuntos!I31/NºAsuntos!G31),NºAsuntos!I31/NºAsuntos!G31," - ")</f>
        <v>2.0945783132530122</v>
      </c>
      <c r="D31" s="1100">
        <f>IF(ISNUMBER('Resol  Asuntos'!D31/NºAsuntos!G31),'Resol  Asuntos'!D31/NºAsuntos!G31," - ")</f>
        <v>0.15481927710843374</v>
      </c>
      <c r="E31" s="1101">
        <f>IF(ISNUMBER((NºAsuntos!C31+NºAsuntos!E31)/NºAsuntos!G31),(NºAsuntos!C31+NºAsuntos!E31)/NºAsuntos!G31," - ")</f>
        <v>3.2036144578313253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lcr1zE07f+mJ/AmBKCuYcHY0gqcReY1PTgm/Gc7EElYc8kBL4iKeux/qFCA63le4iW6IANXDqJIZDMdIsqtYg==" saltValue="vB8dE4e1Hz8FeLT3tfxU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ROQUE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226</v>
      </c>
      <c r="Y12" s="374">
        <f t="shared" si="0"/>
        <v>226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152</v>
      </c>
      <c r="AJ12" s="243" t="str">
        <f>IF(ISNUMBER(Datos!BW12),Datos!BW12," - ")</f>
        <v xml:space="preserve"> - </v>
      </c>
      <c r="AK12" s="242" t="str">
        <f>IF(ISNUMBER(Datos!BX12),Datos!BX12," - ")</f>
        <v xml:space="preserve"> - </v>
      </c>
      <c r="AL12" s="266">
        <f>IF(ISNUMBER(NºAsuntos!G12/NºAsuntos!E12),NºAsuntos!G12/NºAsuntos!E12," - ")</f>
        <v>1.2220077220077219</v>
      </c>
      <c r="AM12" s="284">
        <f>IF(ISNUMBER(((NºAsuntos!I12/NºAsuntos!G12)*11)/factor_trimestre),((NºAsuntos!I12/NºAsuntos!G12)*11)/factor_trimestre," - ")</f>
        <v>8.7393364928909953</v>
      </c>
      <c r="AN12" s="267">
        <f>IF(ISNUMBER('Resol  Asuntos'!D12/NºAsuntos!G12),'Resol  Asuntos'!D12/NºAsuntos!G12," - ")</f>
        <v>0.24012638230647709</v>
      </c>
      <c r="AO12" s="268">
        <f>IF(ISNUMBER((NºAsuntos!C12+NºAsuntos!E12)/NºAsuntos!G12),(NºAsuntos!C12+NºAsuntos!E12)/NºAsuntos!G12," - ")</f>
        <v>3.9131121642969986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v>
      </c>
      <c r="G14" s="1163">
        <f t="shared" si="5"/>
        <v>2</v>
      </c>
      <c r="H14" s="1162">
        <f t="shared" si="5"/>
        <v>0</v>
      </c>
      <c r="I14" s="1164">
        <f t="shared" si="5"/>
        <v>0</v>
      </c>
      <c r="J14" s="1164">
        <f t="shared" si="5"/>
        <v>0</v>
      </c>
      <c r="K14" s="1164">
        <f t="shared" si="5"/>
        <v>0</v>
      </c>
      <c r="L14" s="1164">
        <f t="shared" si="5"/>
        <v>194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226</v>
      </c>
      <c r="Y14" s="1165">
        <f t="shared" si="6"/>
        <v>228</v>
      </c>
      <c r="Z14" s="1165">
        <f t="shared" si="6"/>
        <v>0</v>
      </c>
      <c r="AA14" s="1165">
        <f t="shared" si="6"/>
        <v>0</v>
      </c>
      <c r="AB14" s="1165">
        <f t="shared" si="6"/>
        <v>2340</v>
      </c>
      <c r="AC14" s="1165">
        <f t="shared" si="6"/>
        <v>0</v>
      </c>
      <c r="AD14" s="1165">
        <f t="shared" si="6"/>
        <v>0</v>
      </c>
      <c r="AE14" s="1169">
        <f t="shared" si="6"/>
        <v>0</v>
      </c>
      <c r="AF14" s="1162">
        <f t="shared" si="6"/>
        <v>0</v>
      </c>
      <c r="AG14" s="1170">
        <f t="shared" si="6"/>
        <v>0</v>
      </c>
      <c r="AH14" s="1167">
        <f t="shared" si="6"/>
        <v>0</v>
      </c>
      <c r="AI14" s="1162">
        <f t="shared" si="6"/>
        <v>152</v>
      </c>
      <c r="AJ14" s="1164">
        <f t="shared" si="6"/>
        <v>0</v>
      </c>
      <c r="AK14" s="1167">
        <f>SUBTOTAL(9,AK9:AK13)</f>
        <v>0</v>
      </c>
      <c r="AL14" s="1171">
        <f>IF(ISNUMBER(NºAsuntos!G14/NºAsuntos!E14),NºAsuntos!G14/NºAsuntos!E14," - ")</f>
        <v>1.225868725868726</v>
      </c>
      <c r="AM14" s="1171">
        <f>IF(ISNUMBER(((NºAsuntos!I14/NºAsuntos!G14)*11)/factor_trimestre),((NºAsuntos!I14/NºAsuntos!G14)*11)/factor_trimestre," - ")</f>
        <v>8.7118110236220474</v>
      </c>
      <c r="AN14" s="1172">
        <f>IF(ISNUMBER('Resol  Asuntos'!D14/NºAsuntos!G14),'Resol  Asuntos'!D14/NºAsuntos!G14," - ")</f>
        <v>0.23937007874015748</v>
      </c>
      <c r="AO14" s="1173">
        <f>IF(ISNUMBER((NºAsuntos!C14+NºAsuntos!E14)/NºAsuntos!G14),(NºAsuntos!C14+NºAsuntos!E14)/NºAsuntos!G14," - ")</f>
        <v>3.9039370078740157</v>
      </c>
      <c r="AP14" s="1174" t="str">
        <f t="shared" si="2"/>
        <v xml:space="preserve"> - </v>
      </c>
      <c r="AQ14" s="1174">
        <f>IF(ISNUMBER((H14-W14+K14)/(F14)),(H14-W14+K14)/(F14)," - ")</f>
        <v>-1</v>
      </c>
      <c r="AR14" s="1175">
        <f>IF(ISNUMBER((Datos!P14-Datos!Q14)/(Datos!R14-Datos!P14+Datos!Q14)),(Datos!P14-Datos!Q14)/(Datos!R14-Datos!P14+Datos!Q14)," - ")</f>
        <v>-1.3490725126475547E-2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1935</v>
      </c>
      <c r="G17" s="373">
        <f>IF(ISNUMBER(IF(D_I="SI",Datos!I17,Datos!I17+Datos!AC17)),IF(D_I="SI",Datos!I17,Datos!I17+Datos!AC17)," - ")</f>
        <v>2116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1011</v>
      </c>
      <c r="X17" s="240">
        <f>IF(ISNUMBER(Datos!Q17),Datos!Q17," - ")</f>
        <v>19</v>
      </c>
      <c r="Y17" s="374">
        <f t="shared" ref="Y17:Y22" si="9">SUM(W17:X17)</f>
        <v>1030</v>
      </c>
      <c r="Z17" s="375" t="str">
        <f>IF(ISNUMBER(Datos!CC17),Datos!CC17," - ")</f>
        <v xml:space="preserve"> - </v>
      </c>
      <c r="AA17" s="372">
        <f>IF(ISNUMBER(IF(D_I="SI",Datos!L17,Datos!L17+Datos!AF17)),IF(D_I="SI",Datos!L17,Datos!L17+Datos!AF17)," - ")</f>
        <v>1600</v>
      </c>
      <c r="AB17" s="374">
        <f>IF(ISNUMBER(Datos!R17),Datos!R17," - ")</f>
        <v>175</v>
      </c>
      <c r="AC17" s="374">
        <f t="shared" si="8"/>
        <v>1775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1.4955621301775148</v>
      </c>
      <c r="AM17" s="284">
        <f>IF(ISNUMBER(((NºAsuntos!I17/NºAsuntos!G17)*11)/factor_trimestre),((NºAsuntos!I17/NºAsuntos!G17)*11)/factor_trimestre," - ")</f>
        <v>4.7477744807121658</v>
      </c>
      <c r="AN17" s="267">
        <f>IF(ISNUMBER('Resol  Asuntos'!D17/NºAsuntos!G17),'Resol  Asuntos'!D17/NºAsuntos!G17," - ")</f>
        <v>0.10385756676557864</v>
      </c>
      <c r="AO17" s="268">
        <f>IF(ISNUMBER((NºAsuntos!C17+NºAsuntos!E17)/NºAsuntos!G17),(NºAsuntos!C17+NºAsuntos!E17)/NºAsuntos!G17," - ")</f>
        <v>2.76162215628091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33</v>
      </c>
      <c r="AB18" s="374">
        <f>IF(ISNUMBER(Datos!R18),Datos!R18," - ")</f>
        <v>4</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7</v>
      </c>
      <c r="AM18" s="284">
        <f>IF(ISNUMBER(((NºAsuntos!I18/NºAsuntos!G18)*11)/factor_trimestre),((NºAsuntos!I18/NºAsuntos!G18)*11)/factor_trimestre," - ")</f>
        <v>7.0714285714285721</v>
      </c>
      <c r="AN18" s="267">
        <f>IF(ISNUMBER('Resol  Asuntos'!D18/NºAsuntos!G18),'Resol  Asuntos'!D18/NºAsuntos!G18," - ")</f>
        <v>0</v>
      </c>
      <c r="AO18" s="268">
        <f>IF(ISNUMBER((NºAsuntos!C18+NºAsuntos!E18)/NºAsuntos!G18),(NºAsuntos!C18+NºAsuntos!E18)/NºAsuntos!G18," - ")</f>
        <v>3.3571428571428572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1935</v>
      </c>
      <c r="G23" s="1163">
        <f>SUBTOTAL(9,G16:G22)</f>
        <v>2161</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1025</v>
      </c>
      <c r="X23" s="1164">
        <f t="shared" si="14"/>
        <v>19</v>
      </c>
      <c r="Y23" s="1165">
        <f t="shared" si="14"/>
        <v>1044</v>
      </c>
      <c r="Z23" s="1165">
        <f t="shared" si="14"/>
        <v>0</v>
      </c>
      <c r="AA23" s="1165">
        <f t="shared" si="14"/>
        <v>1633</v>
      </c>
      <c r="AB23" s="1165">
        <f t="shared" si="14"/>
        <v>179</v>
      </c>
      <c r="AC23" s="1165">
        <f t="shared" si="14"/>
        <v>1812</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1.5117994100294985</v>
      </c>
      <c r="AM23" s="1171">
        <f>IF(ISNUMBER(((NºAsuntos!I23/NºAsuntos!G23)*11)/factor_trimestre),((NºAsuntos!I23/NºAsuntos!G23)*11)/factor_trimestre," - ")</f>
        <v>4.7795121951219519</v>
      </c>
      <c r="AN23" s="1172">
        <f>IF(ISNUMBER('Resol  Asuntos'!D23/NºAsuntos!G23),'Resol  Asuntos'!D23/NºAsuntos!G23," - ")</f>
        <v>0.1024390243902439</v>
      </c>
      <c r="AO23" s="1173">
        <f>IF(ISNUMBER((NºAsuntos!C23+NºAsuntos!E23)/NºAsuntos!G23),(NºAsuntos!C23+NºAsuntos!E23)/NºAsuntos!G23," - ")</f>
        <v>2.7697560975609754</v>
      </c>
      <c r="AP23" s="1174" t="str">
        <f t="shared" si="2"/>
        <v xml:space="preserve"> - </v>
      </c>
      <c r="AQ23" s="1174">
        <f>IF(ISNUMBER((H23-W23+K23)/(F23)),(H23-W23+K23)/(F23)," - ")</f>
        <v>-0.52971576227390182</v>
      </c>
      <c r="AR23" s="1175">
        <f>IF(ISNUMBER((Datos!P23-Datos!Q23)/(Datos!R23-Datos!P23+Datos!Q23)),(Datos!P23-Datos!Q23)/(Datos!R23-Datos!P23+Datos!Q23)," - ")</f>
        <v>4.6783625730994149E-2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1937</v>
      </c>
      <c r="G31" s="1118">
        <f t="shared" si="20"/>
        <v>2163</v>
      </c>
      <c r="H31" s="1117">
        <f t="shared" si="20"/>
        <v>0</v>
      </c>
      <c r="I31" s="1119">
        <f t="shared" si="20"/>
        <v>0</v>
      </c>
      <c r="J31" s="1119">
        <f t="shared" si="20"/>
        <v>0</v>
      </c>
      <c r="K31" s="1180">
        <f t="shared" si="20"/>
        <v>0</v>
      </c>
      <c r="L31" s="1119">
        <f t="shared" si="20"/>
        <v>221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1027</v>
      </c>
      <c r="X31" s="1118">
        <f t="shared" si="21"/>
        <v>245</v>
      </c>
      <c r="Y31" s="1125">
        <f t="shared" si="21"/>
        <v>1272</v>
      </c>
      <c r="Z31" s="1125">
        <f t="shared" si="21"/>
        <v>0</v>
      </c>
      <c r="AA31" s="1125">
        <f t="shared" si="21"/>
        <v>1633</v>
      </c>
      <c r="AB31" s="1125">
        <f t="shared" si="21"/>
        <v>2519</v>
      </c>
      <c r="AC31" s="1125">
        <f t="shared" si="21"/>
        <v>1812</v>
      </c>
      <c r="AD31" s="1125">
        <f t="shared" si="21"/>
        <v>0</v>
      </c>
      <c r="AE31" s="1127">
        <f t="shared" si="21"/>
        <v>0</v>
      </c>
      <c r="AF31" s="1128">
        <f t="shared" si="21"/>
        <v>0</v>
      </c>
      <c r="AG31" s="1129">
        <f t="shared" si="21"/>
        <v>0</v>
      </c>
      <c r="AH31" s="1127">
        <f t="shared" si="21"/>
        <v>0</v>
      </c>
      <c r="AI31" s="1117">
        <f t="shared" si="21"/>
        <v>257</v>
      </c>
      <c r="AJ31" s="1117">
        <f t="shared" si="21"/>
        <v>0</v>
      </c>
      <c r="AK31" s="1127">
        <f t="shared" si="21"/>
        <v>0</v>
      </c>
      <c r="AL31" s="1183">
        <f>IF(ISNUMBER(NºAsuntos!G31/NºAsuntos!E31),NºAsuntos!G31/NºAsuntos!E31," - ")</f>
        <v>1.3879598662207357</v>
      </c>
      <c r="AM31" s="1184">
        <f>IF(ISNUMBER(((NºAsuntos!I31/NºAsuntos!G31)*11)/factor_trimestre),((NºAsuntos!I31/NºAsuntos!G31)*11)/factor_trimestre," - ")</f>
        <v>6.2837349397590367</v>
      </c>
      <c r="AN31" s="1184">
        <f>IF(ISNUMBER('Resol  Asuntos'!D31/NºAsuntos!G31),'Resol  Asuntos'!D31/NºAsuntos!G31," - ")</f>
        <v>0.15481927710843374</v>
      </c>
      <c r="AO31" s="1185">
        <f>IF(ISNUMBER((NºAsuntos!C31+NºAsuntos!E31)/NºAsuntos!G31),(NºAsuntos!C31+NºAsuntos!E31)/NºAsuntos!G31," - ")</f>
        <v>3.2036144578313253</v>
      </c>
      <c r="AP31" s="1186" t="str">
        <f t="shared" si="2"/>
        <v xml:space="preserve"> - </v>
      </c>
      <c r="AQ31" s="1187">
        <f>IF(OR(ISNUMBER(FIND("01",Criterios!A8,1)),ISNUMBER(FIND("02",Criterios!A8,1)),ISNUMBER(FIND("03",Criterios!A8,1)),ISNUMBER(FIND("04",Criterios!A8,1))),(I31-W31+K31)/(F31-K31),(H31-W31+K31)/(F31-K31))</f>
        <v>-0.53020134228187921</v>
      </c>
      <c r="AR31" s="1188">
        <f>IF(ISNUMBER((Datos!P31-Datos!Q31)/(Datos!R31-Datos!P31+Datos!Q31)),(Datos!P31-Datos!Q31)/(Datos!R31-Datos!P31+Datos!Q31)," - ")</f>
        <v>-9.4376720408965789E-3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998.71370605727986</v>
      </c>
      <c r="G33" s="277">
        <f>IF(ISNUMBER(STDEV(G8:G30)),STDEV(G8:G30),"-")</f>
        <v>1038.9050325543076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495.01644994311624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70.946156646129481</v>
      </c>
      <c r="AJ33" s="276">
        <f t="shared" si="25"/>
        <v>0</v>
      </c>
      <c r="AK33" s="278">
        <f t="shared" si="25"/>
        <v>0</v>
      </c>
      <c r="AL33" s="273">
        <f t="shared" si="25"/>
        <v>2.5244657790875626</v>
      </c>
      <c r="AM33" s="274">
        <f t="shared" si="25"/>
        <v>3.2993836593861845</v>
      </c>
      <c r="AN33" s="274">
        <f t="shared" si="25"/>
        <v>0.10756719781293013</v>
      </c>
      <c r="AO33" s="275">
        <f t="shared" si="25"/>
        <v>1.0838648501689885</v>
      </c>
      <c r="AP33" s="317" t="str">
        <f t="shared" si="25"/>
        <v>-</v>
      </c>
      <c r="AQ33" s="318">
        <f t="shared" si="25"/>
        <v>0.33254117358127067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SH83tY2oucGlOWkki+/IuB+fESOZlilZRZoE5qhMsFoyjCuYIeWIBQKaaWSQn0fHnKjXo6ndukBYrSRoCvw5g==" saltValue="rkZHTAecrT2UPTSafghL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ROQUE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0.85365853658536583</v>
      </c>
      <c r="I12" s="395">
        <f>IF(ISNUMBER((Tasas!C12-Datos!BE12)/Datos!BE12),(Tasas!C12-Datos!BE12)/Datos!BE12," - ")</f>
        <v>-0.33610549076661034</v>
      </c>
      <c r="J12" s="394">
        <f>IF(ISNUMBER((Tasas!D12-Datos!BF12)/Datos!BF12),(Tasas!D12-Datos!BF12)/Datos!BF12," - ")</f>
        <v>-0.16200793113453907</v>
      </c>
      <c r="K12" s="396">
        <f>IF(ISNUMBER((Tasas!E12-Datos!BG12)/Datos!BG12),(Tasas!E12-Datos!BG12)/Datos!BG12," - ")</f>
        <v>-0.24843633834355658</v>
      </c>
      <c r="M12" t="e">
        <f>IF(Monitorios="SI",Datos!CE12,0)</f>
        <v>#REF!</v>
      </c>
      <c r="N12" t="e">
        <f>IF(Monitorios="SI",Datos!CF12,0)</f>
        <v>#REF!</v>
      </c>
      <c r="O12" t="e">
        <f>IF(Monitorios="SI",Datos!CG12,0)</f>
        <v>#REF!</v>
      </c>
      <c r="P12" t="e">
        <f>IF(Monitorios="SI",Datos!CH12,0)</f>
        <v>#REF!</v>
      </c>
      <c r="Q12">
        <f>IF(J_V="SI",0,Datos!AG12)</f>
        <v>50</v>
      </c>
      <c r="R12">
        <f>IF(J_V="SI",0,Datos!AH12)</f>
        <v>27</v>
      </c>
      <c r="S12">
        <f>IF(J_V="SI",0,Datos!AI12)</f>
        <v>35</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0.85365853658536583</v>
      </c>
      <c r="I14" s="402">
        <f>IF(ISNUMBER((Tasas!C14-Datos!BE14)/Datos!BE14),(Tasas!C14-Datos!BE14)/Datos!BE14," - ")</f>
        <v>-0.33878398355997774</v>
      </c>
      <c r="J14" s="400">
        <f>IF(ISNUMBER((Tasas!D14-Datos!BF14)/Datos!BF14),(Tasas!D14-Datos!BF14)/Datos!BF14," - ")</f>
        <v>-0.16464727623332795</v>
      </c>
      <c r="K14" s="403">
        <f>IF(ISNUMBER((Tasas!E14-Datos!BG14)/Datos!BG14),(Tasas!E14-Datos!BG14)/Datos!BG14," - ")</f>
        <v>-0.25075956414539091</v>
      </c>
      <c r="M14" t="e">
        <f>IF(Monitorios="SI",Datos!CE14,0)</f>
        <v>#REF!</v>
      </c>
      <c r="N14" t="e">
        <f>IF(Monitorios="SI",Datos!CF14,0)</f>
        <v>#REF!</v>
      </c>
      <c r="O14" t="e">
        <f>IF(Monitorios="SI",Datos!CG14,0)</f>
        <v>#REF!</v>
      </c>
      <c r="P14" t="e">
        <f>IF(Monitorios="SI",Datos!CH14,0)</f>
        <v>#REF!</v>
      </c>
      <c r="Q14">
        <f>IF(J_V="SI",0,Datos!AG14)</f>
        <v>50</v>
      </c>
      <c r="R14">
        <f>IF(J_V="SI",0,Datos!AH14)</f>
        <v>27</v>
      </c>
      <c r="S14">
        <f>IF(J_V="SI",0,Datos!AI14)</f>
        <v>35</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0.27469879518072288</v>
      </c>
      <c r="E17" s="393">
        <f>IF(ISNUMBER(
   IF(D_I="SI",(Datos!J17-Datos!T17)/Datos!T17,(Datos!J17+Datos!AD17-(Datos!T17+Datos!AL17))/(Datos!T17+Datos!AL17))
     ),IF(D_I="SI",(Datos!J17-Datos!T17)/Datos!T17,(Datos!J17+Datos!AD17-(Datos!T17+Datos!AL17))/(Datos!T17+Datos!AL17))," - ")</f>
        <v>-0.11052631578947368</v>
      </c>
      <c r="F17" s="393">
        <f>IF(ISNUMBER(
   IF(D_I="SI",(Datos!K17-Datos!U17)/Datos!U17,(Datos!K17+Datos!AE17-(Datos!U17+Datos!AM17))/(Datos!U17+Datos!AM17))
     ),IF(D_I="SI",(Datos!K17-Datos!U17)/Datos!U17,(Datos!K17+Datos!AE17-(Datos!U17+Datos!AM17))/(Datos!U17+Datos!AM17))," - ")</f>
        <v>0.27974683544303797</v>
      </c>
      <c r="G17" s="394">
        <f>IF(ISNUMBER(
   IF(D_I="SI",(Datos!L17-Datos!V17)/Datos!V17,(Datos!L17+Datos!AF17-(Datos!V17+Datos!AN17))/(Datos!V17+Datos!AN17))
     ),IF(D_I="SI",(Datos!L17-Datos!V17)/Datos!V17,(Datos!L17+Datos!AF17-(Datos!V17+Datos!AN17))/(Datos!V17+Datos!AN17))," - ")</f>
        <v>-6.4874342489772058E-2</v>
      </c>
      <c r="H17" s="244">
        <f>IF(ISNUMBER((Datos!M17-Datos!W17)/Datos!W17),(Datos!M17-Datos!W17)/Datos!W17," - ")</f>
        <v>0.16666666666666666</v>
      </c>
      <c r="I17" s="395">
        <f>IF(ISNUMBER((Tasas!C17-Datos!BE17)/Datos!BE17),(Tasas!C17-Datos!BE17)/Datos!BE17," - ")</f>
        <v>-0.26928855644601374</v>
      </c>
      <c r="J17" s="394">
        <f>IF(ISNUMBER((Tasas!D17-Datos!BF17)/Datos!BF17),(Tasas!D17-Datos!BF17)/Datos!BF17," - ")</f>
        <v>-8.8361358391031902E-2</v>
      </c>
      <c r="K17" s="396">
        <f>IF(ISNUMBER((Tasas!E17-Datos!BG17)/Datos!BG17),(Tasas!E17-Datos!BG17)/Datos!BG17," - ")</f>
        <v>-9.8478717577719421E-2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-0.19642857142857142</v>
      </c>
      <c r="E18" s="393">
        <f>IF(ISNUMBER(
   IF(D_I="SI",(Datos!J18-Datos!T18)/Datos!T18,(Datos!J18+Datos!AD18-(Datos!T18+Datos!AL18))/(Datos!T18+Datos!AL18))
     ),IF(D_I="SI",(Datos!J18-Datos!T18)/Datos!T18,(Datos!J18+Datos!AD18-(Datos!T18+Datos!AL18))/(Datos!T18+Datos!AL18))," - ")</f>
        <v>-0.77777777777777779</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-0.32653061224489793</v>
      </c>
      <c r="H18" s="244" t="str">
        <f>IF(ISNUMBER((Datos!M18-Datos!W18)/Datos!W18),(Datos!M18-Datos!W18)/Datos!W18," - ")</f>
        <v xml:space="preserve"> - </v>
      </c>
      <c r="I18" s="395">
        <f>IF(ISNUMBER((Tasas!C18-Datos!BE18)/Datos!BE18),(Tasas!C18-Datos!BE18)/Datos!BE18," - ")</f>
        <v>-0.23032069970845478</v>
      </c>
      <c r="J18" s="394" t="str">
        <f>IF(ISNUMBER((Tasas!D18-Datos!BF18)/Datos!BF18),(Tasas!D18-Datos!BF18)/Datos!BF18," - ")</f>
        <v xml:space="preserve"> - </v>
      </c>
      <c r="K18" s="396">
        <f>IF(ISNUMBER((Tasas!E18-Datos!BG18)/Datos!BG18),(Tasas!E18-Datos!BG18)/Datos!BG18," - ")</f>
        <v>-0.17362637362637362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0.25932400932400934</v>
      </c>
      <c r="E23" s="399">
        <f>IF(ISNUMBER(
   IF(D_I="SI",(Datos!J23-Datos!T23)/Datos!T23,(Datos!J23+Datos!AD23-(Datos!T23+Datos!AL23))/(Datos!T23+Datos!AL23))
     ),IF(D_I="SI",(Datos!J23-Datos!T23)/Datos!T23,(Datos!J23+Datos!AD23-(Datos!T23+Datos!AL23))/(Datos!T23+Datos!AL23))," - ")</f>
        <v>-0.11833550065019506</v>
      </c>
      <c r="F23" s="399">
        <f>IF(ISNUMBER(
   IF(D_I="SI",(Datos!K23-Datos!U23)/Datos!U23,(Datos!K23+Datos!AE23-(Datos!U23+Datos!AM23))/(Datos!U23+Datos!AM23))
     ),IF(D_I="SI",(Datos!K23-Datos!U23)/Datos!U23,(Datos!K23+Datos!AE23-(Datos!U23+Datos!AM23))/(Datos!U23+Datos!AM23))," - ")</f>
        <v>0.27171215880893301</v>
      </c>
      <c r="G23" s="400">
        <f>IF(ISNUMBER(
   IF(D_I="SI",(Datos!L23-Datos!V23)/Datos!V23,(Datos!L23+Datos!AF23-(Datos!V23+Datos!AN23))/(Datos!V23+Datos!AN23))
     ),IF(D_I="SI",(Datos!L23-Datos!V23)/Datos!V23,(Datos!L23+Datos!AF23-(Datos!V23+Datos!AN23))/(Datos!V23+Datos!AN23))," - ")</f>
        <v>-7.2159090909090909E-2</v>
      </c>
      <c r="H23" s="401">
        <f>IF(ISNUMBER((Datos!M23-Datos!W23)/Datos!W23),(Datos!M23-Datos!W23)/Datos!W23," - ")</f>
        <v>0.16666666666666666</v>
      </c>
      <c r="I23" s="402">
        <f>IF(ISNUMBER((Tasas!C23-Datos!BE23)/Datos!BE23),(Tasas!C23-Datos!BE23)/Datos!BE23," - ")</f>
        <v>-0.27040022172949002</v>
      </c>
      <c r="J23" s="400">
        <f>IF(ISNUMBER((Tasas!D23-Datos!BF23)/Datos!BF23),(Tasas!D23-Datos!BF23)/Datos!BF23," - ")</f>
        <v>-8.2601626016260213E-2</v>
      </c>
      <c r="K23" s="403">
        <f>IF(ISNUMBER((Tasas!E23-Datos!BG23)/Datos!BG23),(Tasas!E23-Datos!BG23)/Datos!BG23," - ")</f>
        <v>-0.10164047700839191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6.4566115702479332E-2</v>
      </c>
      <c r="E31" s="409">
        <f>IF(ISNUMBER(
   IF(J_V="SI",(Datos!J31-Datos!T31)/Datos!T31,(Datos!J31+Datos!Z31-(Datos!T31+Datos!AH31))/(Datos!T31+Datos!AH31))
     ),IF(J_V="SI",(Datos!J31-Datos!T31)/Datos!T31,(Datos!J31+Datos!Z31-(Datos!T31+Datos!AH31))/(Datos!T31+Datos!AH31))," - ")</f>
        <v>-6.9984447900466568E-2</v>
      </c>
      <c r="F31" s="409">
        <f>IF(ISNUMBER(
   IF(J_V="SI",(Datos!K31-Datos!U31)/Datos!U31,(Datos!K31+Datos!AA31-(Datos!U31+Datos!AI31))/(Datos!U31+Datos!AI31))
     ),IF(J_V="SI",(Datos!K31-Datos!U31)/Datos!U31,(Datos!K31+Datos!AA31-(Datos!U31+Datos!AI31))/(Datos!U31+Datos!AI31))," - ")</f>
        <v>0.2585291887793783</v>
      </c>
      <c r="G31" s="410">
        <f>IF(ISNUMBER(
   IF(J_V="SI",(Datos!L31-Datos!V31)/Datos!V31,(Datos!L31+Datos!AB31-(Datos!V31+Datos!AJ31))/(Datos!V31+Datos!AJ31))
     ),IF(J_V="SI",(Datos!L31-Datos!V31)/Datos!V31,(Datos!L31+Datos!AB31-(Datos!V31+Datos!AJ31))/(Datos!V31+Datos!AJ31))," - ")</f>
        <v>-0.13356591078993271</v>
      </c>
      <c r="H31" s="411">
        <f>IF(ISNUMBER((Datos!M31-Datos!W31)/Datos!W31),(Datos!M31-Datos!W31)/Datos!W31," - ")</f>
        <v>0.4941860465116279</v>
      </c>
      <c r="I31" s="408">
        <f>IF(ISNUMBER((Tasas!C31-Datos!BE31)/Datos!BE31),(Tasas!C31-Datos!BE31)/Datos!BE31," - ")</f>
        <v>-0.31155026285055493</v>
      </c>
      <c r="J31" s="409">
        <f>IF(ISNUMBER((Tasas!D31-Datos!BF31)/Datos!BF31),(Tasas!D31-Datos!BF31)/Datos!BF31," - ")</f>
        <v>-0.13836866453154389</v>
      </c>
      <c r="K31" s="410">
        <f>IF(ISNUMBER((Tasas!E31-Datos!BG31)/Datos!BG31),(Tasas!E31-Datos!BG31)/Datos!BG31," - ")</f>
        <v>-0.18077404616527373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0.22568420931877264</v>
      </c>
      <c r="E33" s="303">
        <f t="shared" si="1"/>
        <v>0.38300339723404753</v>
      </c>
      <c r="F33" s="303">
        <f t="shared" si="1"/>
        <v>0.23139615877559863</v>
      </c>
      <c r="G33" s="304">
        <f t="shared" si="1"/>
        <v>0.43989882417136617</v>
      </c>
      <c r="H33" s="310">
        <f t="shared" si="1"/>
        <v>0.39663494102864527</v>
      </c>
      <c r="I33" s="302">
        <f t="shared" si="1"/>
        <v>4.7103936350191673E-2</v>
      </c>
      <c r="J33" s="303">
        <f t="shared" si="1"/>
        <v>4.5018838287954908E-2</v>
      </c>
      <c r="K33" s="304">
        <f t="shared" si="1"/>
        <v>7.4783977172177926E-2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I6J5QodUeEkkvGUx++rVp5aQLWpQJ78U9nwLgFHO78JxwkVtUBdqx5ZsWh78KRpdZ6ceZX/DG9zuP0n54WXsQ==" saltValue="6C6sh0pNvNG6dpUzEVGL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